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o\Documents\auxiliar contable 2\"/>
    </mc:Choice>
  </mc:AlternateContent>
  <xr:revisionPtr revIDLastSave="0" documentId="8_{E59617C4-7D7D-4083-81C8-AE9A3D1D66BD}" xr6:coauthVersionLast="47" xr6:coauthVersionMax="47" xr10:uidLastSave="{00000000-0000-0000-0000-000000000000}"/>
  <bookViews>
    <workbookView xWindow="49170" yWindow="-120" windowWidth="15600" windowHeight="11160" tabRatio="794" xr2:uid="{00000000-000D-0000-FFFF-FFFF00000000}"/>
  </bookViews>
  <sheets>
    <sheet name="1-DEPRECIACION CONTAB-FISCAL" sheetId="1" r:id="rId1"/>
    <sheet name="2-AJUSTE ANUAL INFLACION" sheetId="8" r:id="rId2"/>
    <sheet name="3-COSTO DE VENTAS" sheetId="9" r:id="rId3"/>
    <sheet name="4-INGRESOS CONTABLES-FISCAL" sheetId="10" r:id="rId4"/>
    <sheet name="5-DEDUCCIONES CONTABLES-FISCAL" sheetId="11" r:id="rId5"/>
    <sheet name="6-CONCILIACION CONTABLE-FISCAL" sheetId="12" r:id="rId6"/>
    <sheet name="7-BALANCE GENERAL" sheetId="6" r:id="rId7"/>
    <sheet name="8-ESTADO DE RESULTADOS" sheetId="3" r:id="rId8"/>
    <sheet name="9-CALCULO ISR ANUAL" sheetId="4" r:id="rId9"/>
    <sheet name="10- CALCULO PTU" sheetId="5" r:id="rId10"/>
    <sheet name="11-COEFICIENTE DE UTILIDAD" sheetId="7" r:id="rId11"/>
    <sheet name="Hoja1" sheetId="13" r:id="rId12"/>
    <sheet name="CUCA" sheetId="17" r:id="rId13"/>
    <sheet name="CUFIN" sheetId="18" r:id="rId14"/>
    <sheet name="PAGOS PROVISIONALES" sheetId="15" r:id="rId15"/>
    <sheet name="IVA " sheetId="16" r:id="rId16"/>
    <sheet name="POLIZA DE CIERRE " sheetId="19" r:id="rId17"/>
  </sheets>
  <definedNames>
    <definedName name="_xlnm.Print_Area" localSheetId="9">'10- CALCULO PTU'!$A$1:$E$27</definedName>
    <definedName name="_xlnm.Print_Area" localSheetId="10">'11-COEFICIENTE DE UTILIDAD'!$B$3:$G$25</definedName>
    <definedName name="_xlnm.Print_Area" localSheetId="0">'1-DEPRECIACION CONTAB-FISCAL'!$A$1:$J$29</definedName>
    <definedName name="_xlnm.Print_Area" localSheetId="1">'2-AJUSTE ANUAL INFLACION'!$A$2:$O$41</definedName>
    <definedName name="_xlnm.Print_Area" localSheetId="2">'3-COSTO DE VENTAS'!$A$2:$C$11</definedName>
    <definedName name="_xlnm.Print_Area" localSheetId="3">'4-INGRESOS CONTABLES-FISCAL'!$B$1:$E$15</definedName>
    <definedName name="_xlnm.Print_Area" localSheetId="4">'5-DEDUCCIONES CONTABLES-FISCAL'!$C$4:$F$54</definedName>
    <definedName name="_xlnm.Print_Area" localSheetId="5">'6-CONCILIACION CONTABLE-FISCAL'!$B$3:$J$42</definedName>
    <definedName name="_xlnm.Print_Area" localSheetId="6">'7-BALANCE GENERAL'!$B$3:$G$33</definedName>
    <definedName name="_xlnm.Print_Area" localSheetId="7">'8-ESTADO DE RESULTADOS'!$A$1:$E$17</definedName>
    <definedName name="_xlnm.Print_Area" localSheetId="8">'9-CALCULO ISR ANUAL'!$A$1:$D$20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8" l="1"/>
  <c r="E38" i="12"/>
  <c r="J36" i="12"/>
  <c r="F10" i="6"/>
  <c r="D29" i="6"/>
  <c r="C12" i="6"/>
  <c r="C5" i="10"/>
  <c r="E5" i="10" s="1"/>
  <c r="D37" i="19"/>
  <c r="C45" i="19"/>
  <c r="B12" i="3"/>
  <c r="D16" i="12" s="1"/>
  <c r="B11" i="3"/>
  <c r="E19" i="1"/>
  <c r="B8" i="9"/>
  <c r="I19" i="12" s="1"/>
  <c r="C9" i="18"/>
  <c r="B36" i="17"/>
  <c r="B24" i="17"/>
  <c r="B26" i="17" s="1"/>
  <c r="B16" i="17"/>
  <c r="B10" i="17"/>
  <c r="B19" i="5"/>
  <c r="E9" i="1"/>
  <c r="E13" i="1"/>
  <c r="E11" i="1"/>
  <c r="I10" i="11"/>
  <c r="E11" i="11"/>
  <c r="E8" i="11"/>
  <c r="I6" i="11"/>
  <c r="I9" i="11"/>
  <c r="I8" i="11"/>
  <c r="I7" i="11"/>
  <c r="I11" i="11"/>
  <c r="F9" i="1"/>
  <c r="E18" i="1"/>
  <c r="F18" i="1" s="1"/>
  <c r="O21" i="8"/>
  <c r="O20" i="8"/>
  <c r="O19" i="8"/>
  <c r="O8" i="8"/>
  <c r="D15" i="16"/>
  <c r="F15" i="16" s="1"/>
  <c r="D14" i="16"/>
  <c r="F14" i="16" s="1"/>
  <c r="D13" i="16"/>
  <c r="D11" i="16"/>
  <c r="D12" i="16"/>
  <c r="F12" i="16" s="1"/>
  <c r="J26" i="8"/>
  <c r="I21" i="8"/>
  <c r="I26" i="8" s="1"/>
  <c r="J11" i="8"/>
  <c r="D10" i="16"/>
  <c r="D9" i="16"/>
  <c r="F9" i="16" s="1"/>
  <c r="N26" i="8"/>
  <c r="M26" i="8"/>
  <c r="L26" i="8"/>
  <c r="K26" i="8"/>
  <c r="H26" i="8"/>
  <c r="G26" i="8"/>
  <c r="D8" i="16"/>
  <c r="F8" i="16" s="1"/>
  <c r="D7" i="16"/>
  <c r="D6" i="16"/>
  <c r="D5" i="16"/>
  <c r="F5" i="16" s="1"/>
  <c r="B5" i="15"/>
  <c r="B6" i="15" s="1"/>
  <c r="D4" i="16"/>
  <c r="E4" i="15"/>
  <c r="C7" i="8"/>
  <c r="O7" i="8" s="1"/>
  <c r="D31" i="19" l="1"/>
  <c r="D45" i="19"/>
  <c r="B19" i="17"/>
  <c r="B29" i="17" s="1"/>
  <c r="B39" i="17" s="1"/>
  <c r="B44" i="17" s="1"/>
  <c r="I14" i="11"/>
  <c r="E45" i="19"/>
  <c r="E6" i="15"/>
  <c r="B7" i="15"/>
  <c r="E5" i="15"/>
  <c r="F5" i="15" s="1"/>
  <c r="D41" i="11"/>
  <c r="D12" i="12"/>
  <c r="D24" i="12" s="1"/>
  <c r="E22" i="12" s="1"/>
  <c r="J38" i="12"/>
  <c r="G17" i="6"/>
  <c r="E7" i="15" l="1"/>
  <c r="B8" i="15"/>
  <c r="F6" i="15"/>
  <c r="F38" i="11"/>
  <c r="E12" i="11"/>
  <c r="F12" i="11" s="1"/>
  <c r="E13" i="11"/>
  <c r="F13" i="11" s="1"/>
  <c r="E14" i="11"/>
  <c r="F14" i="11" s="1"/>
  <c r="E15" i="11"/>
  <c r="F15" i="11" s="1"/>
  <c r="E16" i="11"/>
  <c r="F16" i="11" s="1"/>
  <c r="E17" i="11"/>
  <c r="F17" i="11" s="1"/>
  <c r="E18" i="11"/>
  <c r="F18" i="11" s="1"/>
  <c r="E19" i="11"/>
  <c r="F19" i="11" s="1"/>
  <c r="E20" i="11"/>
  <c r="F20" i="11" s="1"/>
  <c r="E21" i="11"/>
  <c r="F21" i="11" s="1"/>
  <c r="E22" i="11"/>
  <c r="F22" i="11" s="1"/>
  <c r="E23" i="11"/>
  <c r="F23" i="11" s="1"/>
  <c r="E24" i="11"/>
  <c r="F24" i="11" s="1"/>
  <c r="E25" i="11"/>
  <c r="F25" i="11" s="1"/>
  <c r="E26" i="11"/>
  <c r="F26" i="11" s="1"/>
  <c r="E27" i="11"/>
  <c r="F27" i="11" s="1"/>
  <c r="E28" i="11"/>
  <c r="F28" i="11" s="1"/>
  <c r="E29" i="11"/>
  <c r="F29" i="11" s="1"/>
  <c r="E32" i="11"/>
  <c r="E33" i="11"/>
  <c r="E34" i="11"/>
  <c r="E35" i="11"/>
  <c r="E36" i="11"/>
  <c r="E37" i="11"/>
  <c r="E39" i="11"/>
  <c r="E40" i="11"/>
  <c r="E8" i="15" l="1"/>
  <c r="B9" i="15"/>
  <c r="F7" i="15"/>
  <c r="F8" i="15" s="1"/>
  <c r="B10" i="15" l="1"/>
  <c r="E9" i="15"/>
  <c r="F9" i="15" s="1"/>
  <c r="C8" i="10"/>
  <c r="E10" i="15" l="1"/>
  <c r="F10" i="15" s="1"/>
  <c r="B11" i="15"/>
  <c r="E39" i="12"/>
  <c r="J37" i="12" s="1"/>
  <c r="I10" i="12"/>
  <c r="D17" i="6"/>
  <c r="D33" i="6" s="1"/>
  <c r="B12" i="15" l="1"/>
  <c r="E11" i="15"/>
  <c r="F11" i="15" s="1"/>
  <c r="B9" i="3"/>
  <c r="D7" i="10"/>
  <c r="B13" i="15" l="1"/>
  <c r="E12" i="15"/>
  <c r="F12" i="15" s="1"/>
  <c r="B8" i="3"/>
  <c r="D8" i="10"/>
  <c r="I11" i="12"/>
  <c r="J8" i="12" s="1"/>
  <c r="E36" i="8"/>
  <c r="B14" i="15" l="1"/>
  <c r="E13" i="15"/>
  <c r="F13" i="15" s="1"/>
  <c r="I17" i="1"/>
  <c r="I19" i="1"/>
  <c r="I16" i="1"/>
  <c r="B15" i="15" l="1"/>
  <c r="E15" i="15" s="1"/>
  <c r="F15" i="15" s="1"/>
  <c r="F17" i="15" s="1"/>
  <c r="E14" i="15"/>
  <c r="F14" i="15" s="1"/>
  <c r="F19" i="1"/>
  <c r="E17" i="1"/>
  <c r="F17" i="1" s="1"/>
  <c r="J17" i="1" l="1"/>
  <c r="J19" i="1"/>
  <c r="D18" i="12"/>
  <c r="I13" i="1" l="1"/>
  <c r="I6" i="1"/>
  <c r="I7" i="1"/>
  <c r="I8" i="1"/>
  <c r="I9" i="1"/>
  <c r="I11" i="1"/>
  <c r="I15" i="1"/>
  <c r="F11" i="1" l="1"/>
  <c r="F13" i="1"/>
  <c r="E15" i="1"/>
  <c r="F15" i="1" s="1"/>
  <c r="E16" i="1"/>
  <c r="F16" i="1" s="1"/>
  <c r="J13" i="1" l="1"/>
  <c r="J16" i="1"/>
  <c r="J15" i="1"/>
  <c r="J11" i="1"/>
  <c r="E10" i="12"/>
  <c r="D29" i="12" l="1"/>
  <c r="I22" i="12"/>
  <c r="E11" i="8" l="1"/>
  <c r="E8" i="1"/>
  <c r="F8" i="1" s="1"/>
  <c r="E7" i="1"/>
  <c r="F7" i="1" s="1"/>
  <c r="E6" i="1"/>
  <c r="F6" i="1" s="1"/>
  <c r="D21" i="1"/>
  <c r="E21" i="1" l="1"/>
  <c r="J8" i="1"/>
  <c r="J7" i="1"/>
  <c r="J9" i="1"/>
  <c r="F21" i="1" l="1"/>
  <c r="F24" i="1" s="1"/>
  <c r="J6" i="1"/>
  <c r="D43" i="11" l="1"/>
  <c r="B6" i="3" s="1"/>
  <c r="J21" i="1"/>
  <c r="J24" i="1" s="1"/>
  <c r="B6" i="9"/>
  <c r="B3" i="3"/>
  <c r="D20" i="12" l="1"/>
  <c r="D52" i="11"/>
  <c r="E45" i="11"/>
  <c r="I17" i="11" s="1"/>
  <c r="D18" i="7"/>
  <c r="B4" i="3"/>
  <c r="B5" i="3" s="1"/>
  <c r="F26" i="8"/>
  <c r="E26" i="8"/>
  <c r="D26" i="8"/>
  <c r="C26" i="8"/>
  <c r="O23" i="8"/>
  <c r="O22" i="8"/>
  <c r="N11" i="8"/>
  <c r="M11" i="8"/>
  <c r="L11" i="8"/>
  <c r="K11" i="8"/>
  <c r="I11" i="8"/>
  <c r="H11" i="8"/>
  <c r="G11" i="8"/>
  <c r="F11" i="8"/>
  <c r="D11" i="8"/>
  <c r="C11" i="8"/>
  <c r="O10" i="8"/>
  <c r="O9" i="8"/>
  <c r="B7" i="3" l="1"/>
  <c r="B10" i="3" s="1"/>
  <c r="D10" i="3" s="1"/>
  <c r="I27" i="12"/>
  <c r="D28" i="12"/>
  <c r="O26" i="8"/>
  <c r="O28" i="8" s="1"/>
  <c r="O11" i="8"/>
  <c r="O15" i="8" s="1"/>
  <c r="O30" i="8" l="1"/>
  <c r="O32" i="8" s="1"/>
  <c r="D30" i="12"/>
  <c r="I26" i="12"/>
  <c r="I14" i="12" l="1"/>
  <c r="C3" i="4"/>
  <c r="B5" i="5" s="1"/>
  <c r="B6" i="5" s="1"/>
  <c r="B10" i="5" s="1"/>
  <c r="B17" i="5" s="1"/>
  <c r="G13" i="7" s="1"/>
  <c r="F14" i="7" s="1"/>
  <c r="J24" i="12"/>
  <c r="B13" i="3" l="1"/>
  <c r="F24" i="6" s="1"/>
  <c r="E8" i="12" l="1"/>
  <c r="G29" i="6"/>
  <c r="G33" i="6" s="1"/>
  <c r="H33" i="6" s="1"/>
  <c r="E7" i="11"/>
  <c r="E9" i="11"/>
  <c r="F41" i="11"/>
  <c r="F52" i="11" s="1"/>
  <c r="E10" i="11"/>
  <c r="E41" i="11" l="1"/>
  <c r="I21" i="12"/>
  <c r="J17" i="12" s="1"/>
  <c r="J31" i="12" s="1"/>
  <c r="J34" i="12" s="1"/>
  <c r="J39" i="12" s="1"/>
  <c r="E52" i="11"/>
  <c r="D31" i="12"/>
  <c r="E26" i="12" s="1"/>
  <c r="D17" i="12"/>
  <c r="D19" i="12" l="1"/>
  <c r="E14" i="12"/>
  <c r="E33" i="12" s="1"/>
  <c r="E36" i="12" s="1"/>
  <c r="C4" i="4"/>
  <c r="E41" i="12" l="1"/>
  <c r="G33" i="12"/>
  <c r="C5" i="4"/>
  <c r="D6" i="5"/>
  <c r="D7" i="5" s="1"/>
  <c r="D10" i="5" s="1"/>
  <c r="B18" i="5" s="1"/>
  <c r="B20" i="5" l="1"/>
  <c r="B22" i="5" s="1"/>
  <c r="D17" i="7"/>
  <c r="D21" i="7" s="1"/>
  <c r="C7" i="4"/>
  <c r="C9" i="4" s="1"/>
  <c r="C11" i="4" l="1"/>
  <c r="C5" i="18"/>
  <c r="C15" i="4" l="1"/>
  <c r="C7" i="18"/>
  <c r="C21" i="18" s="1"/>
  <c r="C32" i="18" s="1"/>
</calcChain>
</file>

<file path=xl/sharedStrings.xml><?xml version="1.0" encoding="utf-8"?>
<sst xmlns="http://schemas.openxmlformats.org/spreadsheetml/2006/main" count="580" uniqueCount="396">
  <si>
    <t>BIENES</t>
  </si>
  <si>
    <t>FECHA DE ADQUISICION</t>
  </si>
  <si>
    <t>MOI</t>
  </si>
  <si>
    <t>DEPRECIACION CONTABLE</t>
  </si>
  <si>
    <t>FACTOR</t>
  </si>
  <si>
    <t>DEPRECIACION FISCAL</t>
  </si>
  <si>
    <t>SECCION II DE LAS INVERSIONES: DEDUCCION DE INVERSIONES</t>
  </si>
  <si>
    <t>CUENTAS</t>
  </si>
  <si>
    <t>INGRESOS CONTABLES</t>
  </si>
  <si>
    <t>INGRESOS FISCALES</t>
  </si>
  <si>
    <t>VENTAS</t>
  </si>
  <si>
    <t>CUENTA</t>
  </si>
  <si>
    <t>(-)COSTO DE VENTAS</t>
  </si>
  <si>
    <t>(=)UTILIDAD BRUTA</t>
  </si>
  <si>
    <t>(-)GASTOS DE OPERACIÓN</t>
  </si>
  <si>
    <t>UTILIDAD DE OPERACIÓN</t>
  </si>
  <si>
    <t>La elaboración del estado de Resultados, por disposiciones legales (Art. 172 de la Ley General del Sociedades Mercantiles), debe prepararse anualmente, sin embargo este se puede elaborar en periodos más cortos,</t>
  </si>
  <si>
    <t>NIF-B3</t>
  </si>
  <si>
    <t>CEDULA N° 8                  ESTADO DE RESULTADOS</t>
  </si>
  <si>
    <t>INGRESOS ACUMULABLES</t>
  </si>
  <si>
    <t>(-)DEDUCCIONES AUTORIZADAS</t>
  </si>
  <si>
    <t>(=)UTILIDAD FISCAL</t>
  </si>
  <si>
    <t xml:space="preserve">(-)PTU PAGADA EN EL EJERCICIO </t>
  </si>
  <si>
    <t>(-)PERDIDADS FISCALES</t>
  </si>
  <si>
    <t>(=)RESULTADO FISCAL</t>
  </si>
  <si>
    <t>(X)TASA%</t>
  </si>
  <si>
    <t>(=)ISR DETERMINADO</t>
  </si>
  <si>
    <t>(-)PAGOS PROVISIONALES</t>
  </si>
  <si>
    <t>(=)ISR A PAGAR</t>
  </si>
  <si>
    <t>TITULO II DE LAS PERSONAS MORALES</t>
  </si>
  <si>
    <t>ART 9.- RESULTADO FISCAL, UTILIDAD FISCAL Y PAGO DE IMPUESTO</t>
  </si>
  <si>
    <t>INGRESOS</t>
  </si>
  <si>
    <t>SUBTOTAL</t>
  </si>
  <si>
    <t>(+)DIVIDENDOS PERCIBIDOS</t>
  </si>
  <si>
    <t>(+)GANANCIA CAMBIARIA</t>
  </si>
  <si>
    <t>TOTAL INGRESOS</t>
  </si>
  <si>
    <t>DEDUCCIONES AUTORIZADAS</t>
  </si>
  <si>
    <t>TOTAL DEDUCCIONES AUTORIZADAS</t>
  </si>
  <si>
    <t>CEDULA N°12     DETERMINACION DE LA BASE DE LA PTU</t>
  </si>
  <si>
    <t>CEDULA N°13     PTU</t>
  </si>
  <si>
    <t>(-)DEDUCCIONES</t>
  </si>
  <si>
    <t>BASE PTU</t>
  </si>
  <si>
    <t>(X)%</t>
  </si>
  <si>
    <t>(=)PTU A PAGAR</t>
  </si>
  <si>
    <t>(-)GASTOS FINANCIEROS</t>
  </si>
  <si>
    <t>% DEPRECIACION</t>
  </si>
  <si>
    <t>TOTAL</t>
  </si>
  <si>
    <t>ACTIVO CIRCULANTE</t>
  </si>
  <si>
    <t>PASIVO A CORTO PLAZO</t>
  </si>
  <si>
    <t>BANCOS</t>
  </si>
  <si>
    <t>SUMA CIRCULANTE</t>
  </si>
  <si>
    <t>ACTIVO NO CIRCULANTE</t>
  </si>
  <si>
    <t>CAPITAL CONTABLE</t>
  </si>
  <si>
    <t>TERRENOS</t>
  </si>
  <si>
    <t>MAQUINARIA Y EQUIPO</t>
  </si>
  <si>
    <t>CAPITAL SOCIAL</t>
  </si>
  <si>
    <t>TOTAL CAPITAL CONTABLE</t>
  </si>
  <si>
    <t>SUMA ACTIVO NO CIRCULANTE</t>
  </si>
  <si>
    <t>TOTAL ACTIVO</t>
  </si>
  <si>
    <t>SUMA DE PASIVO + CAPITAL</t>
  </si>
  <si>
    <t>DETERMINACION DEL COEFICIENTE DE UTILIDAD</t>
  </si>
  <si>
    <t>C.U. =</t>
  </si>
  <si>
    <t>-----------------------------------------------------------</t>
  </si>
  <si>
    <t>INGRESOS NOMINALES DEL EJERCICIO</t>
  </si>
  <si>
    <t>CEDULA N° 13 COEFICIENTE DE UTILIDAD</t>
  </si>
  <si>
    <t>Cuenta</t>
  </si>
  <si>
    <t>Descripción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</si>
  <si>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</si>
  <si>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</si>
  <si>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</si>
  <si>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</si>
  <si>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</si>
  <si>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</si>
  <si>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</si>
  <si>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</si>
  <si>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</si>
  <si>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</si>
  <si>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</si>
  <si>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</si>
  <si>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</si>
  <si>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CREDITOS</t>
  </si>
  <si>
    <t xml:space="preserve"> BANCOS                                   </t>
  </si>
  <si>
    <t>Suma  de promedios de Creditos</t>
  </si>
  <si>
    <t>(/)</t>
  </si>
  <si>
    <t>NUMERO MESES EJERCICIO</t>
  </si>
  <si>
    <t>(=)</t>
  </si>
  <si>
    <t>Saldo Promedio de Creditos</t>
  </si>
  <si>
    <t xml:space="preserve"> </t>
  </si>
  <si>
    <t>DEUDAS</t>
  </si>
  <si>
    <t xml:space="preserve"> PROVEEDORES                               </t>
  </si>
  <si>
    <t xml:space="preserve">BANCOS SALDO ROJO </t>
  </si>
  <si>
    <t>Suma  de promedios de Deudas</t>
  </si>
  <si>
    <t>Saldo Promedio de Deudas</t>
  </si>
  <si>
    <t>SDO MAYOR EN DEUDAS</t>
  </si>
  <si>
    <t>(X)</t>
  </si>
  <si>
    <t>Factor de actualizacion</t>
  </si>
  <si>
    <t>F.A.</t>
  </si>
  <si>
    <t>1) SI EL SALDO PROMEDIO DE CREDITOS ES MAYOR AL SALDO PROMEDIO DE DEUDAS SE OBTENDRÁ AJUSTE ANUAL POR INFLACION DEDUCIBLE</t>
  </si>
  <si>
    <t>2) SI EL SALDO PROMEDIO DE LAS DEUDAS ES MAYOR AL SALDO PROMEDIO DE LOS CRÉDITOS SE OBTENDRÁ AJUSTE ANUAL POR INFLACIÓN ACUMULABLE</t>
  </si>
  <si>
    <t>CEDUAL N° 3             DETERMINACION DEL COSTO DE VENTAS</t>
  </si>
  <si>
    <t>INVENTARIO INICIAL</t>
  </si>
  <si>
    <t>COMPRAS</t>
  </si>
  <si>
    <t>TOTAL MERCANCIA</t>
  </si>
  <si>
    <t>(-) INVENTARIO FINAL</t>
  </si>
  <si>
    <t>CEDUAL N° 4           DETERMINACION DE LOS INGRESOS CONTABLES Y FISCALES</t>
  </si>
  <si>
    <t>CEDUAL N° 5     DETERMINACION DE LAS DEDUCCIONES CONTABLES Y FISCALES</t>
  </si>
  <si>
    <t>CONTABLE</t>
  </si>
  <si>
    <t>FISCAL</t>
  </si>
  <si>
    <t>GASTOS GENERALES</t>
  </si>
  <si>
    <t>NO DEDUCIBLE</t>
  </si>
  <si>
    <t>REFERENCIA</t>
  </si>
  <si>
    <t>CONCEPTO</t>
  </si>
  <si>
    <t>PARCIAL</t>
  </si>
  <si>
    <t>IMPORTE</t>
  </si>
  <si>
    <t>RESULTADO DEL EJERCICIO</t>
  </si>
  <si>
    <t>(MAS)</t>
  </si>
  <si>
    <t>Ingresos Fiscales no Contables</t>
  </si>
  <si>
    <t>Deducciones Contables No Fiscales.</t>
  </si>
  <si>
    <t xml:space="preserve">PASIVOS PERSONAS FISICAS </t>
  </si>
  <si>
    <t xml:space="preserve">(MENOS) </t>
  </si>
  <si>
    <t>Ingresos Contables no Fiscales</t>
  </si>
  <si>
    <t>Deducciones Fiscales no Contables</t>
  </si>
  <si>
    <t>Ajuste Anual por Inflacion Deducible</t>
  </si>
  <si>
    <t>BASE ISR</t>
  </si>
  <si>
    <t>TASA</t>
  </si>
  <si>
    <t>IMPUESTO DETERMINADO</t>
  </si>
  <si>
    <t>(MENOS)</t>
  </si>
  <si>
    <t>ISR A  CARGO</t>
  </si>
  <si>
    <t>Ventas</t>
  </si>
  <si>
    <t xml:space="preserve">OTROS PRODUCTOS </t>
  </si>
  <si>
    <t>AJUSTE ANUAL POR INFLACION ACUMU</t>
  </si>
  <si>
    <t>DEDUCCIONES</t>
  </si>
  <si>
    <t>CTO DE VENTAS</t>
  </si>
  <si>
    <t xml:space="preserve">   REBAJAS SOBRE VENTAS </t>
  </si>
  <si>
    <t>Gastos Generales</t>
  </si>
  <si>
    <t>Gastos Financieros</t>
  </si>
  <si>
    <t xml:space="preserve">OTROS GASTOS </t>
  </si>
  <si>
    <t>Ajuste Anual por Inflación Deducible.</t>
  </si>
  <si>
    <t>(=)COSTO DE VENTAS</t>
  </si>
  <si>
    <t>OTROS INGRESOS</t>
  </si>
  <si>
    <t>(=)UTILIDAD ANTES DE IMPUESTOS</t>
  </si>
  <si>
    <t>INPC DE MES DE ADQUISICIÓN</t>
  </si>
  <si>
    <t>INPC ULTIMO MES DE LA 1 MITAD</t>
  </si>
  <si>
    <t>AJUSTE ANUAL POR INFLACION</t>
  </si>
  <si>
    <t>Clave</t>
  </si>
  <si>
    <t>Percepción</t>
  </si>
  <si>
    <t>Gravado o Exento</t>
  </si>
  <si>
    <t>Detalle</t>
  </si>
  <si>
    <t>Sueldos, Salarios, Rayas y Jornales</t>
  </si>
  <si>
    <t>Gravado</t>
  </si>
  <si>
    <t>Según tablas del Anexo 8 de la Resolución Miscelánea Fiscal 2014</t>
  </si>
  <si>
    <t>Gratificación Anual (Aguinaldo)</t>
  </si>
  <si>
    <t>Sólo 30 días de SM queda exento, el excedente es gravado</t>
  </si>
  <si>
    <t>Participación de los Trabajadores en las Utilidades PTU</t>
  </si>
  <si>
    <t>Sólo 15 dias de SM queda exento, el excedente es gravado</t>
  </si>
  <si>
    <t>Reembolso de Gastos Médicos Dentales y Hospitalarios</t>
  </si>
  <si>
    <t>Exento</t>
  </si>
  <si>
    <t>Importe 100% Exento</t>
  </si>
  <si>
    <t>Fondo de Ahorro</t>
  </si>
  <si>
    <t>Caja de Ahorro</t>
  </si>
  <si>
    <t>Contribuciones a Cargo del Trabajador Pagadas por el Patrón</t>
  </si>
  <si>
    <t>Premios por Puntualidad</t>
  </si>
  <si>
    <t>Importe 100% Gravado</t>
  </si>
  <si>
    <t>Prima de Seguro de Vida</t>
  </si>
  <si>
    <t>Seguro de Gastos Médicos Mayores</t>
  </si>
  <si>
    <t>Cuotas Sindicales Pagadas por el Patrón</t>
  </si>
  <si>
    <t>Subsidios por Incapacidad</t>
  </si>
  <si>
    <t>Becas para Trabajadores y/o Hijos</t>
  </si>
  <si>
    <t>Otros</t>
  </si>
  <si>
    <t>Por Definir</t>
  </si>
  <si>
    <t>Subsidio para el Empleo</t>
  </si>
  <si>
    <t>Horas Extra</t>
  </si>
  <si>
    <t>Si SD &lt;= SM son 9 hr exentas, pero si SD &gt; SM son 2.5 hr exentas</t>
  </si>
  <si>
    <t>Prima Dominical</t>
  </si>
  <si>
    <t>Sólo 1 SM por cada domingo trabajado es exento, el excedente es gravado</t>
  </si>
  <si>
    <t>Prima Vacacional</t>
  </si>
  <si>
    <t>Sólo 15 dias de SM son exentos, el excedente es gravado</t>
  </si>
  <si>
    <t>Prima por Antigüedad</t>
  </si>
  <si>
    <t>Sólo 90 SM por año trabajado es exento, el excedente es gravado</t>
  </si>
  <si>
    <t>Pagos por Separación</t>
  </si>
  <si>
    <t>Seguro de Retiro</t>
  </si>
  <si>
    <t>Indemnizaciones</t>
  </si>
  <si>
    <t>Reembolso por funeral</t>
  </si>
  <si>
    <t>Cuotas de Seguridad Social Pagadas por el Patrón</t>
  </si>
  <si>
    <t>Comisiones</t>
  </si>
  <si>
    <t>Vales de Despensa</t>
  </si>
  <si>
    <t>Sólo mediante monedero del SAT son 7 SM elevado al año como importe exento, el excedente es gravado.</t>
  </si>
  <si>
    <t>Vales de Restaurante</t>
  </si>
  <si>
    <t>Vales de Gasolina</t>
  </si>
  <si>
    <t>Sólo si están a nombre de la dependencia</t>
  </si>
  <si>
    <t>Vales de Ropa</t>
  </si>
  <si>
    <t>Ayuda para Renta</t>
  </si>
  <si>
    <t>Ayuda para Artículos Escolares</t>
  </si>
  <si>
    <t>Ayuda pra Anteojos</t>
  </si>
  <si>
    <t>Ayuda para Transporte</t>
  </si>
  <si>
    <t>Si es vehículo de la empresa se exenta</t>
  </si>
  <si>
    <t>Ayuda para Gastos de Funeral</t>
  </si>
  <si>
    <t>Otros Ingresos por Salarios</t>
  </si>
  <si>
    <t>Jubilaciones, Pensiones o Haberes de Retiro</t>
  </si>
  <si>
    <t>Sólo 15 SM son exentos, el excedente es gravado.</t>
  </si>
  <si>
    <t>(-)ISR</t>
  </si>
  <si>
    <t>(-)PTU</t>
  </si>
  <si>
    <t>UTILIDAD NETA</t>
  </si>
  <si>
    <t>perdidas fiscales</t>
  </si>
  <si>
    <t>gastos no deducibles</t>
  </si>
  <si>
    <t>IMPUESTOS A FAVOR</t>
  </si>
  <si>
    <t>ART 31 PARRAFO  7-8</t>
  </si>
  <si>
    <t>ART 44 AL 46 LISR</t>
  </si>
  <si>
    <t>Depreciación Contable</t>
  </si>
  <si>
    <t>DEPRECIACION CONTABLE MES</t>
  </si>
  <si>
    <t>GASTOS FINANCIEROS</t>
  </si>
  <si>
    <t>AJUSTE ANUAL X INFL DEDUCIBLE</t>
  </si>
  <si>
    <t>GASOS FINANCIEROS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</si>
  <si>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</si>
  <si>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</si>
  <si>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</si>
  <si>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</si>
  <si>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</si>
  <si>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</si>
  <si>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</si>
  <si>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</si>
  <si>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</si>
  <si>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</si>
  <si>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</si>
  <si>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</si>
  <si>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(+)PRODUCTOS FINANCIEROS</t>
  </si>
  <si>
    <t>FONDO FIJO DE CAJA</t>
  </si>
  <si>
    <t>DOCUMENTOS Y CUENTAS POR PAGAR</t>
  </si>
  <si>
    <t>IMPUESTOS Y DERECHOS POR PAGAR</t>
  </si>
  <si>
    <t>IMPUESTOS TRASLADADOS POR COBRAR</t>
  </si>
  <si>
    <t>ANTICIPOS DE CLIENTES</t>
  </si>
  <si>
    <t>P PROVISIONALES</t>
  </si>
  <si>
    <t>(-)ISR RETENIDO POR INVERSIONES</t>
  </si>
  <si>
    <t>Retenciones ISR Bancarias</t>
  </si>
  <si>
    <t>I.N.P.C. Dic 2020</t>
  </si>
  <si>
    <t>6100-048-000                         OTROS GASTOS DE VIAJE</t>
  </si>
  <si>
    <t>6100-050-000                         PUBLICIDAD</t>
  </si>
  <si>
    <t>6100-052-000                         COMIDAS CON EL PERSONAL</t>
  </si>
  <si>
    <t>6100-053-000                         COMIDAS DE NEGOCIOS</t>
  </si>
  <si>
    <t>6100-054-000                         GASTOS DE FIN DE AÑO</t>
  </si>
  <si>
    <t>6100-056-000                         OTROS GASTOS GENERALES</t>
  </si>
  <si>
    <t>6100-057-000                         CUSROS Y CAPACITACION</t>
  </si>
  <si>
    <t>IMPUESTOS TRASLADADOS COBRADOS</t>
  </si>
  <si>
    <t>SUMA PASIVO A CORTO PLAZO</t>
  </si>
  <si>
    <t>C.U 2020</t>
  </si>
  <si>
    <t>I.N.P.C. Dic 2021</t>
  </si>
  <si>
    <t>6100-051-000                         ARTICULOS PROMOCIONALES</t>
  </si>
  <si>
    <t>CEDUL N° 11         DETERMINACION DEL ISR 2021</t>
  </si>
  <si>
    <t>(-)SUBSIDIO</t>
  </si>
  <si>
    <t>UTILIDAD FISCAL DEL EJERCICIO +DEDUCCION INMEDIATA + RENDIMIENTOS SOCIOS</t>
  </si>
  <si>
    <t>BALANCE GENERAL  AL 31 DE DICIEMBRE 2021</t>
  </si>
  <si>
    <t>PROVISION DE NOMINA</t>
  </si>
  <si>
    <t>PTU Y ISR</t>
  </si>
  <si>
    <t>CEDULA N°1               CALCULO DE LA DEPRECIACION CONTABLE y DEDUCCIÓN FISCAL</t>
  </si>
  <si>
    <t>ART 34.- DEDUCCIÓN DE ACTIVO FIJO</t>
  </si>
  <si>
    <t>DEDUCCIÓN FISCAL</t>
  </si>
  <si>
    <t>Calculo Ajuste X inflacion 2022</t>
  </si>
  <si>
    <t>PAGOS PROVISIONALES DEL 2022</t>
  </si>
  <si>
    <t>C.U.</t>
  </si>
  <si>
    <t xml:space="preserve">IMPORTE </t>
  </si>
  <si>
    <t xml:space="preserve">PAGOS DEFINITIVOS DE IVA </t>
  </si>
  <si>
    <t>IVA COBRADO</t>
  </si>
  <si>
    <t xml:space="preserve">IVA PAGADO </t>
  </si>
  <si>
    <t xml:space="preserve">IVA A PAGAR </t>
  </si>
  <si>
    <t>COMPENSACIÓN SALDO A FAVOR</t>
  </si>
  <si>
    <t xml:space="preserve">IVA A FAVOR </t>
  </si>
  <si>
    <t>ANTICIPO A PROVEEDORES</t>
  </si>
  <si>
    <t>SUBSIDIO PARA EL EMPLEO</t>
  </si>
  <si>
    <t xml:space="preserve">IMPUESTO SOBRE NOMINA </t>
  </si>
  <si>
    <t>IMPUESTOS RETENIDOS</t>
  </si>
  <si>
    <t xml:space="preserve">APORTACIONES DE SEGURIDAD SOCIAL </t>
  </si>
  <si>
    <t xml:space="preserve">IMPUESTO </t>
  </si>
  <si>
    <t>PTU PAGADA</t>
  </si>
  <si>
    <t xml:space="preserve">COMPLEMENTARIA </t>
  </si>
  <si>
    <t xml:space="preserve">CANTIDADA  A FAVOR 280 PESOS, NO CUMPLE REQUISITO FISCAL </t>
  </si>
  <si>
    <t xml:space="preserve">16,044 DIFERENCIA ES NO CUMPLE REQUISITO. PAGO DE LO INDEBIDO </t>
  </si>
  <si>
    <t xml:space="preserve">13,457 DIFERENCIA ES NO CUMPLE REQUISITOS FISCALES </t>
  </si>
  <si>
    <t>OK</t>
  </si>
  <si>
    <t xml:space="preserve">OK </t>
  </si>
  <si>
    <t>ok</t>
  </si>
  <si>
    <t>6000-001-000                         SUELDOS Y SALARIOS</t>
  </si>
  <si>
    <t xml:space="preserve">6000-002-000                         AGUINALDO </t>
  </si>
  <si>
    <t>6000-004-000                        VACACIONES</t>
  </si>
  <si>
    <t xml:space="preserve">6000-004-000                         P. VACACIONAL </t>
  </si>
  <si>
    <t xml:space="preserve">6000-005-000                         PRIMA DOMINICAL </t>
  </si>
  <si>
    <t xml:space="preserve">VITRINA </t>
  </si>
  <si>
    <t xml:space="preserve">REBANADORA </t>
  </si>
  <si>
    <t xml:space="preserve">BASCULA </t>
  </si>
  <si>
    <t xml:space="preserve">CONGELADOR </t>
  </si>
  <si>
    <t>CAMIONETA ESTACA DH MOD 2014</t>
  </si>
  <si>
    <t>EQUIPO DELL E2417H</t>
  </si>
  <si>
    <t xml:space="preserve">SILLAS DE OFICINA </t>
  </si>
  <si>
    <t xml:space="preserve">ESCRITORIO </t>
  </si>
  <si>
    <t xml:space="preserve">TELEVISOR </t>
  </si>
  <si>
    <t xml:space="preserve">SOFTWARE PUNTO DE VENTA </t>
  </si>
  <si>
    <t xml:space="preserve">Maquinaria y Equipo </t>
  </si>
  <si>
    <t xml:space="preserve">Equipo de transporte </t>
  </si>
  <si>
    <t xml:space="preserve">Equipo de computo </t>
  </si>
  <si>
    <t xml:space="preserve">Mobiliario y Equipo </t>
  </si>
  <si>
    <t xml:space="preserve">Licencias y Softwae </t>
  </si>
  <si>
    <t>total</t>
  </si>
  <si>
    <t>6000-006-000                              CUOTA I.M.S.S.</t>
  </si>
  <si>
    <t>6000-007-000                         APORTACIONES AL SAR</t>
  </si>
  <si>
    <t>6000-008-000                       APORTACIONES AL INFONAVIT</t>
  </si>
  <si>
    <t xml:space="preserve">6000-009-000                         IMPUESTO SOBRE NOMINA </t>
  </si>
  <si>
    <t>6000-011-000                         OTROS IMPUESTOS Y DERECHOS</t>
  </si>
  <si>
    <t xml:space="preserve">6000-012-000                         ENERGIA ELECTRICA </t>
  </si>
  <si>
    <t xml:space="preserve">6000-013-000                        TELEFONO </t>
  </si>
  <si>
    <t xml:space="preserve">6000-015-000                         COMISIONES BANCARIAS </t>
  </si>
  <si>
    <t xml:space="preserve">6000-016-001                         MANTENIMIENTO DE EQUIPO DE REPARTO </t>
  </si>
  <si>
    <t xml:space="preserve">6000-016-002                         MANTENIMIENTO DE EQUIPO DE OFICINA </t>
  </si>
  <si>
    <t xml:space="preserve">6000-017-000                        PROPAGANDA Y PUBLICIDAD </t>
  </si>
  <si>
    <t xml:space="preserve">6000-018-000                         COMBUSTIBLES Y LUBRICANTES </t>
  </si>
  <si>
    <t xml:space="preserve">6000-019-000                        HONORARIOS PAGADOS A PERSONAS MORALES </t>
  </si>
  <si>
    <t xml:space="preserve">6000-021-000                       PAPELERIA </t>
  </si>
  <si>
    <t xml:space="preserve">6000-025-000                         SOPORTE SISTEMAS DE COMPUTO </t>
  </si>
  <si>
    <t xml:space="preserve">6000-027-000                         SEGUROS Y FIANZAS </t>
  </si>
  <si>
    <t>6000-028-000                         NO DEDUCIBLES</t>
  </si>
  <si>
    <t>DEDUCCIÓN  FISCAL</t>
  </si>
  <si>
    <t xml:space="preserve">6000-029-000                         OTROS IMPUESTOS Y DERECHOS </t>
  </si>
  <si>
    <t xml:space="preserve">6000-030-000                         COBRO DE SERVICIOS </t>
  </si>
  <si>
    <t xml:space="preserve">GASTOS EN GENERAL </t>
  </si>
  <si>
    <t xml:space="preserve">COMBUSTIBLES Y LUBRICANTES </t>
  </si>
  <si>
    <t xml:space="preserve"> CUOTA I.M.S.S.</t>
  </si>
  <si>
    <t xml:space="preserve"> APORTACIONES AL SAR</t>
  </si>
  <si>
    <t xml:space="preserve"> APORTACIONES AL INFONAVIT</t>
  </si>
  <si>
    <t>DEDUCCIÓN  FISCAL DE INVERSIONES</t>
  </si>
  <si>
    <t>NOMINA</t>
  </si>
  <si>
    <t>(-) EXENTOS ART. 28 FRACC. XXX</t>
  </si>
  <si>
    <t xml:space="preserve">DETERMINACION DE LA CUENTA DE CAPITAL DE APORTACION </t>
  </si>
  <si>
    <t>ARTICULO 89 LISR</t>
  </si>
  <si>
    <t>FECHA DE CONSTITUCION DE LA SOCIEDAD</t>
  </si>
  <si>
    <t>IMPORTE DE CAPITAL APORTADO</t>
  </si>
  <si>
    <t>IMPORTE HISTORICO DE LA CUENTA DE CAPITAL DE APORTACION A DIC/2019</t>
  </si>
  <si>
    <t>I.N.P.C. DICIEMBRE 2019</t>
  </si>
  <si>
    <t>I.N.P.C. OCTUBRE  2019</t>
  </si>
  <si>
    <t>FACTOR DE ACTUALIZACION</t>
  </si>
  <si>
    <t>IMPORTE ACTUALIZADO DE LA CUENTA DE CAPITAL DE APORTACION A DIC/2019</t>
  </si>
  <si>
    <t>I.N.P.C. DICIEMBRE 2020</t>
  </si>
  <si>
    <t>IMPORTE ACTUALIZADO DE LA CUENTA DE CAPITAL DE APORTACION A DIC/20</t>
  </si>
  <si>
    <t>I.N.P.C. DICIEMBRE 2021</t>
  </si>
  <si>
    <t>IMPORTE ACTUALIZADO DE LA CUENTA DE CAPITAL DE APORTACION A DIC/21</t>
  </si>
  <si>
    <t>DETERMINACION DE LA UFIN</t>
  </si>
  <si>
    <t>(-)</t>
  </si>
  <si>
    <t xml:space="preserve">IMPUESTO SOBRE LA RENTA </t>
  </si>
  <si>
    <t xml:space="preserve">PARTIDAS NO DEDUCIBLES </t>
  </si>
  <si>
    <t>SE CONSIDERAN NO DEDUCIBLES, SUELDOS EXCENTOS NO DEDUCIBLES, PARTIDAS CONTABLES NO FISCALES QUE SE INDICAN EN PT</t>
  </si>
  <si>
    <t xml:space="preserve">(-) </t>
  </si>
  <si>
    <t>P.T.U.</t>
  </si>
  <si>
    <t xml:space="preserve">DETERMINACION DE LA CUFIN </t>
  </si>
  <si>
    <t>(+)</t>
  </si>
  <si>
    <t>SALDO INICIAL DE LA CUFIN  2020</t>
  </si>
  <si>
    <t xml:space="preserve">DIVIDENDOS O UTILIDADES PERCIBIDOS DE OTRAS </t>
  </si>
  <si>
    <t xml:space="preserve">P.M. RESIDENTES EN MEXICO </t>
  </si>
  <si>
    <t>DIVIDENDOS O UTILIDADES SUJETOS A REGIMENES</t>
  </si>
  <si>
    <t xml:space="preserve">FISCALES PREFERENTES </t>
  </si>
  <si>
    <t xml:space="preserve">DIVIDENDOS O UTILIDADES PAGADOS CON LAS </t>
  </si>
  <si>
    <t>UTILIDADES DISTRIBUIDAS</t>
  </si>
  <si>
    <t>SALDO FINAL DE LA CUFIN  A DICIEMBRE 2015</t>
  </si>
  <si>
    <t>RESULTADO FISCAL DEL EJERCICIO 2021</t>
  </si>
  <si>
    <t>UTILIDAD FISCAL NETA (UFIN) 2021</t>
  </si>
  <si>
    <t>UFIN EJERCICIO 2021</t>
  </si>
  <si>
    <t>DEBE</t>
  </si>
  <si>
    <t>HABER</t>
  </si>
  <si>
    <t xml:space="preserve">CUENTA               Y                     CONCEPTO </t>
  </si>
  <si>
    <t>4000-002-001         VENTAS AL PUBLICO EN GENERAL AL 0%</t>
  </si>
  <si>
    <t>4000-001-001                  VENTAS AL PUBLICO EN GENERAL AL 16%</t>
  </si>
  <si>
    <t>5000-001-000     COSTO DE VENTAS</t>
  </si>
  <si>
    <t xml:space="preserve">6100-001-000      DEPRECIACIÓN DE MAQUINARIA Y EQUIPO </t>
  </si>
  <si>
    <t xml:space="preserve">6100-002-000     DEPRECIACIÓN DE EQUIPO DE TRANSPORTE </t>
  </si>
  <si>
    <t xml:space="preserve">6100-003-000    DEPRECIACIÓN DE EQUIPO DE COMPUTO </t>
  </si>
  <si>
    <t xml:space="preserve">6100-004-000     DEPRECIACIÓN DE MOB Y EQUIPO </t>
  </si>
  <si>
    <t xml:space="preserve">6101-001-000     AMORTIZACIÓN DE LICENCIAS </t>
  </si>
  <si>
    <t xml:space="preserve">SUMAS IGUALES </t>
  </si>
  <si>
    <t xml:space="preserve">3030-001-000      UTILIDAD DEL EJERCICIO </t>
  </si>
  <si>
    <t xml:space="preserve">CUCA DE EJERCIOS ANTERIORES </t>
  </si>
  <si>
    <t xml:space="preserve">RECONOCIMIENTO DE LA CUCA DEL EJERCICIO </t>
  </si>
  <si>
    <t xml:space="preserve">6300-001-000   PTU DEL EJERCICIO </t>
  </si>
  <si>
    <t xml:space="preserve">6200-001-000         impuestos del ejercicio </t>
  </si>
  <si>
    <t>EJERCICIO FISCAL 2021</t>
  </si>
  <si>
    <t xml:space="preserve">4000-003-001                 ingresos por uso de terminal </t>
  </si>
  <si>
    <t>INVENTARIOS</t>
  </si>
  <si>
    <t>DEPOSITOS EN GARANTIA</t>
  </si>
  <si>
    <t>EQUIPO DE TRANSPORTE</t>
  </si>
  <si>
    <t xml:space="preserve">EQUIPO DE COMPUTO </t>
  </si>
  <si>
    <t xml:space="preserve">MOBILIARIO Y EQUIPO </t>
  </si>
  <si>
    <t>LICENCIA Y SOFWARE</t>
  </si>
  <si>
    <t xml:space="preserve">DEPRECIACIÓN ACUMULADA </t>
  </si>
  <si>
    <t>AMORTIZACIÓN DE DIFERIDOS</t>
  </si>
  <si>
    <t>PROVEDORES</t>
  </si>
  <si>
    <t xml:space="preserve">PTU POR PAGAR </t>
  </si>
  <si>
    <t xml:space="preserve">RESERVA LEGAL </t>
  </si>
  <si>
    <t>UTILIDADES RETENIDAS</t>
  </si>
  <si>
    <t>UTILIDAD DEL EJERCICIO</t>
  </si>
  <si>
    <t>CONCILIACION CONTABLE- FISCAL. 2021</t>
  </si>
  <si>
    <t xml:space="preserve">EL PATITO S.A. DE C.V.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</si>
</sst>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"/>
    <numFmt numFmtId="165" formatCode="#,##0.00_ ;[Red]\-#,##0.00\ 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7"/>
      <color rgb="FF444748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Garamond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Arial"/>
      <family val="2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8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Arial Black"/>
      <family val="2"/>
    </font>
    <font>
      <sz val="10"/>
      <name val="Arial"/>
    </font>
    <font>
      <sz val="12"/>
      <name val="Arial"/>
      <family val="2"/>
    </font>
    <font>
      <sz val="12"/>
      <name val="MS Sans Serif"/>
      <charset val="1"/>
    </font>
    <font>
      <sz val="11"/>
      <color rgb="FF939598"/>
      <name val="Roboto"/>
    </font>
    <font>
      <sz val="9"/>
      <name val="Arial"/>
      <family val="2"/>
    </font>
    <font>
      <sz val="10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theme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2" fillId="0" borderId="0"/>
    <xf numFmtId="165" fontId="19" fillId="0" borderId="0"/>
    <xf numFmtId="0" fontId="12" fillId="0" borderId="0"/>
    <xf numFmtId="0" fontId="41" fillId="0" borderId="0"/>
    <xf numFmtId="43" fontId="41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8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5" xfId="0" applyBorder="1"/>
    <xf numFmtId="0" fontId="0" fillId="0" borderId="0" xfId="0" applyBorder="1"/>
    <xf numFmtId="0" fontId="0" fillId="0" borderId="6" xfId="0" applyBorder="1"/>
    <xf numFmtId="44" fontId="0" fillId="0" borderId="0" xfId="0" applyNumberFormat="1" applyBorder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1" fillId="0" borderId="6" xfId="0" applyFont="1" applyBorder="1"/>
    <xf numFmtId="44" fontId="0" fillId="0" borderId="5" xfId="0" applyNumberFormat="1" applyBorder="1"/>
    <xf numFmtId="44" fontId="0" fillId="0" borderId="7" xfId="0" applyNumberFormat="1" applyBorder="1"/>
    <xf numFmtId="44" fontId="0" fillId="0" borderId="8" xfId="0" applyNumberFormat="1" applyBorder="1"/>
    <xf numFmtId="0" fontId="2" fillId="0" borderId="6" xfId="0" applyFont="1" applyBorder="1"/>
    <xf numFmtId="0" fontId="2" fillId="0" borderId="9" xfId="0" applyFont="1" applyBorder="1"/>
    <xf numFmtId="44" fontId="1" fillId="0" borderId="10" xfId="0" applyNumberFormat="1" applyFont="1" applyBorder="1"/>
    <xf numFmtId="44" fontId="1" fillId="0" borderId="11" xfId="0" applyNumberFormat="1" applyFont="1" applyBorder="1"/>
    <xf numFmtId="44" fontId="1" fillId="0" borderId="0" xfId="0" applyNumberFormat="1" applyFont="1" applyBorder="1"/>
    <xf numFmtId="0" fontId="3" fillId="0" borderId="6" xfId="0" applyFont="1" applyBorder="1"/>
    <xf numFmtId="0" fontId="3" fillId="0" borderId="6" xfId="0" applyFont="1" applyBorder="1" applyAlignment="1">
      <alignment wrapText="1"/>
    </xf>
    <xf numFmtId="9" fontId="0" fillId="0" borderId="5" xfId="0" applyNumberFormat="1" applyBorder="1"/>
    <xf numFmtId="0" fontId="0" fillId="0" borderId="5" xfId="0" applyBorder="1" applyAlignment="1">
      <alignment horizontal="center"/>
    </xf>
    <xf numFmtId="44" fontId="1" fillId="0" borderId="12" xfId="0" applyNumberFormat="1" applyFont="1" applyBorder="1"/>
    <xf numFmtId="0" fontId="0" fillId="0" borderId="0" xfId="0" applyAlignment="1"/>
    <xf numFmtId="0" fontId="0" fillId="0" borderId="13" xfId="0" applyBorder="1" applyAlignment="1"/>
    <xf numFmtId="0" fontId="0" fillId="0" borderId="14" xfId="0" applyBorder="1"/>
    <xf numFmtId="0" fontId="0" fillId="0" borderId="15" xfId="0" applyBorder="1"/>
    <xf numFmtId="0" fontId="0" fillId="0" borderId="13" xfId="0" applyBorder="1"/>
    <xf numFmtId="9" fontId="0" fillId="0" borderId="6" xfId="0" applyNumberForma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4" fontId="0" fillId="0" borderId="0" xfId="0" applyNumberFormat="1" applyFill="1" applyBorder="1"/>
    <xf numFmtId="44" fontId="1" fillId="0" borderId="7" xfId="0" applyNumberFormat="1" applyFont="1" applyBorder="1"/>
    <xf numFmtId="17" fontId="7" fillId="0" borderId="0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0" fillId="0" borderId="22" xfId="0" applyBorder="1"/>
    <xf numFmtId="44" fontId="0" fillId="0" borderId="23" xfId="0" applyNumberFormat="1" applyBorder="1"/>
    <xf numFmtId="44" fontId="4" fillId="0" borderId="12" xfId="2" applyFont="1" applyBorder="1"/>
    <xf numFmtId="44" fontId="4" fillId="0" borderId="0" xfId="2" applyFont="1" applyBorder="1"/>
    <xf numFmtId="0" fontId="1" fillId="0" borderId="12" xfId="0" applyFont="1" applyBorder="1" applyAlignment="1">
      <alignment horizontal="center"/>
    </xf>
    <xf numFmtId="44" fontId="0" fillId="0" borderId="0" xfId="2" applyFont="1"/>
    <xf numFmtId="44" fontId="4" fillId="0" borderId="0" xfId="2" applyFont="1" applyAlignment="1">
      <alignment horizontal="center"/>
    </xf>
    <xf numFmtId="0" fontId="0" fillId="0" borderId="22" xfId="0" applyFont="1" applyBorder="1" applyAlignment="1">
      <alignment horizontal="left"/>
    </xf>
    <xf numFmtId="44" fontId="4" fillId="0" borderId="0" xfId="2" applyFont="1"/>
    <xf numFmtId="44" fontId="0" fillId="0" borderId="22" xfId="2" applyFont="1" applyBorder="1"/>
    <xf numFmtId="44" fontId="0" fillId="0" borderId="12" xfId="0" applyNumberFormat="1" applyBorder="1"/>
    <xf numFmtId="44" fontId="0" fillId="0" borderId="22" xfId="0" applyNumberFormat="1" applyBorder="1"/>
    <xf numFmtId="0" fontId="1" fillId="0" borderId="0" xfId="0" applyFont="1"/>
    <xf numFmtId="44" fontId="1" fillId="0" borderId="23" xfId="0" applyNumberFormat="1" applyFont="1" applyBorder="1"/>
    <xf numFmtId="0" fontId="1" fillId="0" borderId="22" xfId="0" applyFont="1" applyBorder="1" applyAlignment="1">
      <alignment horizontal="center"/>
    </xf>
    <xf numFmtId="0" fontId="0" fillId="3" borderId="13" xfId="0" applyFill="1" applyBorder="1"/>
    <xf numFmtId="0" fontId="0" fillId="3" borderId="0" xfId="0" applyFill="1" applyBorder="1"/>
    <xf numFmtId="0" fontId="0" fillId="3" borderId="6" xfId="0" applyFont="1" applyFill="1" applyBorder="1"/>
    <xf numFmtId="0" fontId="0" fillId="3" borderId="0" xfId="0" applyFont="1" applyFill="1" applyBorder="1"/>
    <xf numFmtId="43" fontId="0" fillId="3" borderId="0" xfId="1" applyFont="1" applyFill="1" applyBorder="1"/>
    <xf numFmtId="0" fontId="0" fillId="3" borderId="7" xfId="0" applyFont="1" applyFill="1" applyBorder="1"/>
    <xf numFmtId="0" fontId="0" fillId="3" borderId="9" xfId="0" applyFont="1" applyFill="1" applyBorder="1"/>
    <xf numFmtId="0" fontId="0" fillId="3" borderId="5" xfId="0" applyFont="1" applyFill="1" applyBorder="1"/>
    <xf numFmtId="43" fontId="0" fillId="3" borderId="5" xfId="1" applyFont="1" applyFill="1" applyBorder="1"/>
    <xf numFmtId="0" fontId="0" fillId="3" borderId="8" xfId="0" applyFont="1" applyFill="1" applyBorder="1"/>
    <xf numFmtId="0" fontId="0" fillId="3" borderId="14" xfId="0" applyFont="1" applyFill="1" applyBorder="1"/>
    <xf numFmtId="0" fontId="0" fillId="3" borderId="15" xfId="0" applyFont="1" applyFill="1" applyBorder="1"/>
    <xf numFmtId="43" fontId="0" fillId="3" borderId="15" xfId="1" applyFont="1" applyFill="1" applyBorder="1"/>
    <xf numFmtId="0" fontId="0" fillId="3" borderId="13" xfId="0" applyFont="1" applyFill="1" applyBorder="1"/>
    <xf numFmtId="4" fontId="0" fillId="3" borderId="0" xfId="1" applyNumberFormat="1" applyFont="1" applyFill="1" applyBorder="1"/>
    <xf numFmtId="4" fontId="14" fillId="3" borderId="25" xfId="1" applyNumberFormat="1" applyFont="1" applyFill="1" applyBorder="1"/>
    <xf numFmtId="4" fontId="0" fillId="3" borderId="7" xfId="0" applyNumberFormat="1" applyFont="1" applyFill="1" applyBorder="1"/>
    <xf numFmtId="4" fontId="0" fillId="3" borderId="26" xfId="0" applyNumberFormat="1" applyFont="1" applyFill="1" applyBorder="1"/>
    <xf numFmtId="4" fontId="0" fillId="3" borderId="0" xfId="0" applyNumberFormat="1" applyFont="1" applyFill="1" applyBorder="1"/>
    <xf numFmtId="0" fontId="16" fillId="3" borderId="6" xfId="0" applyFont="1" applyFill="1" applyBorder="1"/>
    <xf numFmtId="0" fontId="14" fillId="3" borderId="0" xfId="0" applyFont="1" applyFill="1" applyBorder="1"/>
    <xf numFmtId="0" fontId="16" fillId="3" borderId="0" xfId="0" applyFont="1" applyFill="1" applyBorder="1"/>
    <xf numFmtId="0" fontId="14" fillId="3" borderId="0" xfId="0" applyFont="1" applyFill="1" applyBorder="1" applyAlignment="1">
      <alignment horizontal="center"/>
    </xf>
    <xf numFmtId="4" fontId="10" fillId="0" borderId="2" xfId="0" applyNumberFormat="1" applyFont="1" applyBorder="1"/>
    <xf numFmtId="0" fontId="11" fillId="3" borderId="3" xfId="3" applyFill="1" applyBorder="1"/>
    <xf numFmtId="43" fontId="4" fillId="3" borderId="3" xfId="1" applyFill="1" applyBorder="1"/>
    <xf numFmtId="0" fontId="0" fillId="3" borderId="4" xfId="0" applyFill="1" applyBorder="1"/>
    <xf numFmtId="0" fontId="18" fillId="3" borderId="3" xfId="3" applyFont="1" applyFill="1" applyBorder="1"/>
    <xf numFmtId="0" fontId="8" fillId="3" borderId="14" xfId="0" applyFont="1" applyFill="1" applyBorder="1" applyAlignment="1">
      <alignment horizontal="left"/>
    </xf>
    <xf numFmtId="0" fontId="13" fillId="3" borderId="15" xfId="0" applyFont="1" applyFill="1" applyBorder="1" applyAlignment="1">
      <alignment horizontal="left"/>
    </xf>
    <xf numFmtId="0" fontId="13" fillId="3" borderId="28" xfId="0" applyFont="1" applyFill="1" applyBorder="1" applyAlignment="1">
      <alignment horizontal="left"/>
    </xf>
    <xf numFmtId="165" fontId="0" fillId="3" borderId="28" xfId="0" applyNumberFormat="1" applyFill="1" applyBorder="1"/>
    <xf numFmtId="165" fontId="0" fillId="3" borderId="15" xfId="0" applyNumberFormat="1" applyFill="1" applyBorder="1"/>
    <xf numFmtId="165" fontId="0" fillId="3" borderId="0" xfId="0" applyNumberFormat="1" applyFill="1" applyBorder="1"/>
    <xf numFmtId="0" fontId="0" fillId="3" borderId="0" xfId="0" applyFill="1"/>
    <xf numFmtId="165" fontId="19" fillId="3" borderId="0" xfId="6" applyFill="1"/>
    <xf numFmtId="165" fontId="0" fillId="3" borderId="0" xfId="0" applyNumberFormat="1" applyFill="1"/>
    <xf numFmtId="165" fontId="0" fillId="3" borderId="29" xfId="0" applyNumberFormat="1" applyFont="1" applyFill="1" applyBorder="1"/>
    <xf numFmtId="165" fontId="0" fillId="3" borderId="0" xfId="0" applyNumberFormat="1" applyFont="1" applyFill="1" applyBorder="1"/>
    <xf numFmtId="0" fontId="0" fillId="3" borderId="29" xfId="0" applyFont="1" applyFill="1" applyBorder="1"/>
    <xf numFmtId="165" fontId="0" fillId="3" borderId="15" xfId="0" applyNumberFormat="1" applyFont="1" applyFill="1" applyBorder="1"/>
    <xf numFmtId="0" fontId="0" fillId="3" borderId="0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right"/>
    </xf>
    <xf numFmtId="165" fontId="0" fillId="3" borderId="5" xfId="0" applyNumberFormat="1" applyFont="1" applyFill="1" applyBorder="1"/>
    <xf numFmtId="37" fontId="14" fillId="3" borderId="8" xfId="0" applyNumberFormat="1" applyFont="1" applyFill="1" applyBorder="1" applyAlignment="1" applyProtection="1">
      <alignment horizontal="center"/>
    </xf>
    <xf numFmtId="165" fontId="16" fillId="3" borderId="29" xfId="0" applyNumberFormat="1" applyFont="1" applyFill="1" applyBorder="1" applyProtection="1"/>
    <xf numFmtId="37" fontId="14" fillId="3" borderId="6" xfId="0" applyNumberFormat="1" applyFont="1" applyFill="1" applyBorder="1" applyAlignment="1" applyProtection="1">
      <alignment horizontal="left"/>
    </xf>
    <xf numFmtId="37" fontId="14" fillId="3" borderId="0" xfId="0" applyNumberFormat="1" applyFont="1" applyFill="1" applyBorder="1" applyAlignment="1" applyProtection="1">
      <alignment horizontal="left"/>
    </xf>
    <xf numFmtId="37" fontId="14" fillId="3" borderId="29" xfId="0" applyNumberFormat="1" applyFont="1" applyFill="1" applyBorder="1" applyAlignment="1" applyProtection="1">
      <alignment horizontal="center"/>
    </xf>
    <xf numFmtId="37" fontId="14" fillId="3" borderId="0" xfId="0" applyNumberFormat="1" applyFont="1" applyFill="1" applyBorder="1" applyAlignment="1" applyProtection="1">
      <alignment horizontal="center"/>
    </xf>
    <xf numFmtId="37" fontId="14" fillId="3" borderId="9" xfId="0" applyNumberFormat="1" applyFont="1" applyFill="1" applyBorder="1" applyAlignment="1" applyProtection="1">
      <alignment horizontal="left"/>
    </xf>
    <xf numFmtId="37" fontId="14" fillId="3" borderId="5" xfId="0" applyNumberFormat="1" applyFont="1" applyFill="1" applyBorder="1" applyAlignment="1" applyProtection="1">
      <alignment horizontal="center"/>
    </xf>
    <xf numFmtId="165" fontId="14" fillId="3" borderId="30" xfId="0" applyNumberFormat="1" applyFont="1" applyFill="1" applyBorder="1" applyAlignment="1" applyProtection="1">
      <alignment horizontal="center"/>
    </xf>
    <xf numFmtId="165" fontId="14" fillId="3" borderId="5" xfId="0" applyNumberFormat="1" applyFont="1" applyFill="1" applyBorder="1" applyAlignment="1" applyProtection="1">
      <alignment horizontal="center"/>
    </xf>
    <xf numFmtId="37" fontId="14" fillId="3" borderId="28" xfId="0" applyNumberFormat="1" applyFont="1" applyFill="1" applyBorder="1" applyAlignment="1" applyProtection="1">
      <alignment horizontal="center"/>
    </xf>
    <xf numFmtId="37" fontId="14" fillId="3" borderId="14" xfId="0" applyNumberFormat="1" applyFont="1" applyFill="1" applyBorder="1" applyAlignment="1" applyProtection="1">
      <alignment horizontal="center"/>
    </xf>
    <xf numFmtId="165" fontId="16" fillId="3" borderId="0" xfId="0" applyNumberFormat="1" applyFont="1" applyFill="1" applyBorder="1" applyProtection="1"/>
    <xf numFmtId="37" fontId="16" fillId="3" borderId="7" xfId="0" applyNumberFormat="1" applyFont="1" applyFill="1" applyBorder="1" applyProtection="1"/>
    <xf numFmtId="37" fontId="14" fillId="3" borderId="6" xfId="0" applyNumberFormat="1" applyFont="1" applyFill="1" applyBorder="1" applyAlignment="1" applyProtection="1">
      <alignment horizontal="center"/>
    </xf>
    <xf numFmtId="0" fontId="14" fillId="3" borderId="29" xfId="0" applyFont="1" applyFill="1" applyBorder="1"/>
    <xf numFmtId="0" fontId="14" fillId="3" borderId="6" xfId="0" applyFont="1" applyFill="1" applyBorder="1"/>
    <xf numFmtId="37" fontId="14" fillId="3" borderId="6" xfId="0" applyNumberFormat="1" applyFont="1" applyFill="1" applyBorder="1" applyProtection="1"/>
    <xf numFmtId="37" fontId="16" fillId="3" borderId="29" xfId="0" applyNumberFormat="1" applyFont="1" applyFill="1" applyBorder="1" applyAlignment="1" applyProtection="1">
      <alignment horizontal="right"/>
    </xf>
    <xf numFmtId="0" fontId="16" fillId="3" borderId="6" xfId="5" applyFont="1" applyFill="1" applyBorder="1" applyAlignment="1">
      <alignment horizontal="right"/>
    </xf>
    <xf numFmtId="0" fontId="16" fillId="3" borderId="7" xfId="0" applyFont="1" applyFill="1" applyBorder="1"/>
    <xf numFmtId="37" fontId="14" fillId="3" borderId="6" xfId="0" applyNumberFormat="1" applyFont="1" applyFill="1" applyBorder="1" applyAlignment="1" applyProtection="1">
      <alignment horizontal="right"/>
    </xf>
    <xf numFmtId="0" fontId="16" fillId="3" borderId="29" xfId="0" applyFont="1" applyFill="1" applyBorder="1"/>
    <xf numFmtId="37" fontId="16" fillId="3" borderId="14" xfId="0" applyNumberFormat="1" applyFont="1" applyFill="1" applyBorder="1" applyAlignment="1" applyProtection="1">
      <alignment horizontal="right"/>
    </xf>
    <xf numFmtId="0" fontId="16" fillId="3" borderId="15" xfId="5" applyFont="1" applyFill="1" applyBorder="1"/>
    <xf numFmtId="37" fontId="16" fillId="3" borderId="6" xfId="0" applyNumberFormat="1" applyFont="1" applyFill="1" applyBorder="1" applyAlignment="1" applyProtection="1">
      <alignment horizontal="right"/>
    </xf>
    <xf numFmtId="37" fontId="14" fillId="3" borderId="0" xfId="0" applyNumberFormat="1" applyFont="1" applyFill="1" applyBorder="1" applyAlignment="1" applyProtection="1">
      <alignment horizontal="right"/>
    </xf>
    <xf numFmtId="0" fontId="20" fillId="3" borderId="0" xfId="0" applyFont="1" applyFill="1" applyBorder="1" applyAlignment="1">
      <alignment horizontal="right"/>
    </xf>
    <xf numFmtId="0" fontId="16" fillId="3" borderId="0" xfId="0" applyFont="1" applyFill="1" applyBorder="1" applyAlignment="1">
      <alignment horizontal="right"/>
    </xf>
    <xf numFmtId="0" fontId="21" fillId="3" borderId="0" xfId="0" applyFont="1" applyFill="1" applyBorder="1"/>
    <xf numFmtId="164" fontId="16" fillId="3" borderId="0" xfId="0" applyNumberFormat="1" applyFont="1" applyFill="1" applyBorder="1" applyAlignment="1">
      <alignment horizontal="center"/>
    </xf>
    <xf numFmtId="44" fontId="16" fillId="3" borderId="29" xfId="0" applyNumberFormat="1" applyFont="1" applyFill="1" applyBorder="1" applyProtection="1"/>
    <xf numFmtId="44" fontId="16" fillId="3" borderId="0" xfId="0" applyNumberFormat="1" applyFont="1" applyFill="1" applyBorder="1" applyProtection="1"/>
    <xf numFmtId="44" fontId="16" fillId="3" borderId="7" xfId="0" applyNumberFormat="1" applyFont="1" applyFill="1" applyBorder="1" applyProtection="1"/>
    <xf numFmtId="44" fontId="14" fillId="3" borderId="29" xfId="4" applyNumberFormat="1" applyFont="1" applyFill="1" applyBorder="1"/>
    <xf numFmtId="44" fontId="14" fillId="3" borderId="7" xfId="0" applyNumberFormat="1" applyFont="1" applyFill="1" applyBorder="1" applyProtection="1"/>
    <xf numFmtId="44" fontId="14" fillId="3" borderId="30" xfId="4" applyNumberFormat="1" applyFont="1" applyFill="1" applyBorder="1"/>
    <xf numFmtId="44" fontId="14" fillId="3" borderId="8" xfId="0" applyNumberFormat="1" applyFont="1" applyFill="1" applyBorder="1" applyProtection="1"/>
    <xf numFmtId="44" fontId="14" fillId="3" borderId="29" xfId="0" applyNumberFormat="1" applyFont="1" applyFill="1" applyBorder="1" applyProtection="1"/>
    <xf numFmtId="44" fontId="14" fillId="3" borderId="0" xfId="0" applyNumberFormat="1" applyFont="1" applyFill="1" applyBorder="1" applyProtection="1"/>
    <xf numFmtId="44" fontId="0" fillId="3" borderId="29" xfId="0" applyNumberFormat="1" applyFont="1" applyFill="1" applyBorder="1"/>
    <xf numFmtId="44" fontId="16" fillId="3" borderId="29" xfId="4" applyNumberFormat="1" applyFont="1" applyFill="1" applyBorder="1"/>
    <xf numFmtId="44" fontId="0" fillId="3" borderId="0" xfId="0" applyNumberFormat="1" applyFont="1" applyFill="1" applyBorder="1"/>
    <xf numFmtId="44" fontId="16" fillId="3" borderId="29" xfId="0" applyNumberFormat="1" applyFont="1" applyFill="1" applyBorder="1" applyAlignment="1">
      <alignment horizontal="right"/>
    </xf>
    <xf numFmtId="44" fontId="0" fillId="3" borderId="7" xfId="0" applyNumberFormat="1" applyFont="1" applyFill="1" applyBorder="1"/>
    <xf numFmtId="44" fontId="16" fillId="3" borderId="0" xfId="0" applyNumberFormat="1" applyFont="1" applyFill="1" applyBorder="1"/>
    <xf numFmtId="44" fontId="14" fillId="3" borderId="0" xfId="4" applyNumberFormat="1" applyFont="1" applyFill="1" applyBorder="1"/>
    <xf numFmtId="44" fontId="14" fillId="3" borderId="29" xfId="0" applyNumberFormat="1" applyFont="1" applyFill="1" applyBorder="1"/>
    <xf numFmtId="44" fontId="16" fillId="3" borderId="13" xfId="0" applyNumberFormat="1" applyFont="1" applyFill="1" applyBorder="1"/>
    <xf numFmtId="44" fontId="14" fillId="3" borderId="7" xfId="0" applyNumberFormat="1" applyFont="1" applyFill="1" applyBorder="1"/>
    <xf numFmtId="44" fontId="16" fillId="3" borderId="7" xfId="0" applyNumberFormat="1" applyFont="1" applyFill="1" applyBorder="1"/>
    <xf numFmtId="0" fontId="1" fillId="0" borderId="9" xfId="0" applyFont="1" applyBorder="1" applyAlignment="1">
      <alignment horizontal="center"/>
    </xf>
    <xf numFmtId="44" fontId="0" fillId="0" borderId="29" xfId="0" applyNumberFormat="1" applyBorder="1"/>
    <xf numFmtId="0" fontId="0" fillId="0" borderId="29" xfId="0" applyBorder="1"/>
    <xf numFmtId="0" fontId="2" fillId="0" borderId="29" xfId="0" applyFont="1" applyBorder="1"/>
    <xf numFmtId="0" fontId="2" fillId="0" borderId="30" xfId="0" applyFont="1" applyBorder="1"/>
    <xf numFmtId="44" fontId="0" fillId="0" borderId="30" xfId="0" applyNumberFormat="1" applyBorder="1"/>
    <xf numFmtId="0" fontId="16" fillId="3" borderId="0" xfId="3" applyFont="1" applyFill="1" applyAlignment="1">
      <alignment horizontal="left"/>
    </xf>
    <xf numFmtId="44" fontId="0" fillId="0" borderId="0" xfId="0" applyNumberFormat="1" applyFont="1"/>
    <xf numFmtId="44" fontId="16" fillId="0" borderId="0" xfId="3" applyNumberFormat="1" applyFont="1"/>
    <xf numFmtId="44" fontId="14" fillId="0" borderId="0" xfId="3" applyNumberFormat="1" applyFont="1" applyAlignment="1">
      <alignment horizontal="center"/>
    </xf>
    <xf numFmtId="44" fontId="14" fillId="0" borderId="0" xfId="3" applyNumberFormat="1" applyFont="1" applyFill="1"/>
    <xf numFmtId="44" fontId="16" fillId="0" borderId="0" xfId="3" applyNumberFormat="1" applyFont="1" applyFill="1"/>
    <xf numFmtId="44" fontId="14" fillId="0" borderId="0" xfId="3" applyNumberFormat="1" applyFont="1"/>
    <xf numFmtId="44" fontId="16" fillId="0" borderId="0" xfId="3" applyNumberFormat="1" applyFont="1" applyAlignment="1">
      <alignment horizontal="center"/>
    </xf>
    <xf numFmtId="44" fontId="16" fillId="0" borderId="0" xfId="3" applyNumberFormat="1" applyFont="1" applyFill="1" applyAlignment="1">
      <alignment horizontal="center"/>
    </xf>
    <xf numFmtId="44" fontId="14" fillId="0" borderId="0" xfId="3" applyNumberFormat="1" applyFont="1" applyAlignment="1">
      <alignment horizontal="left"/>
    </xf>
    <xf numFmtId="44" fontId="16" fillId="3" borderId="0" xfId="3" applyNumberFormat="1" applyFont="1" applyFill="1"/>
    <xf numFmtId="44" fontId="16" fillId="0" borderId="0" xfId="3" applyNumberFormat="1" applyFont="1" applyAlignment="1">
      <alignment horizontal="left"/>
    </xf>
    <xf numFmtId="44" fontId="17" fillId="0" borderId="0" xfId="3" applyNumberFormat="1" applyFont="1" applyAlignment="1">
      <alignment horizontal="left"/>
    </xf>
    <xf numFmtId="44" fontId="17" fillId="0" borderId="0" xfId="3" applyNumberFormat="1" applyFont="1" applyFill="1" applyAlignment="1">
      <alignment horizontal="left"/>
    </xf>
    <xf numFmtId="9" fontId="16" fillId="0" borderId="0" xfId="3" applyNumberFormat="1" applyFont="1" applyAlignment="1">
      <alignment horizontal="center"/>
    </xf>
    <xf numFmtId="44" fontId="18" fillId="3" borderId="0" xfId="3" applyNumberFormat="1" applyFont="1" applyFill="1" applyAlignment="1">
      <alignment horizontal="left"/>
    </xf>
    <xf numFmtId="0" fontId="16" fillId="3" borderId="0" xfId="3" applyFont="1" applyFill="1"/>
    <xf numFmtId="0" fontId="14" fillId="3" borderId="0" xfId="3" applyFont="1" applyFill="1" applyAlignment="1">
      <alignment horizontal="center"/>
    </xf>
    <xf numFmtId="0" fontId="14" fillId="3" borderId="0" xfId="3" applyFont="1" applyFill="1"/>
    <xf numFmtId="0" fontId="16" fillId="3" borderId="0" xfId="3" applyFont="1" applyFill="1" applyAlignment="1">
      <alignment horizontal="center"/>
    </xf>
    <xf numFmtId="0" fontId="14" fillId="3" borderId="0" xfId="3" applyFont="1" applyFill="1" applyAlignment="1">
      <alignment horizontal="left"/>
    </xf>
    <xf numFmtId="44" fontId="16" fillId="3" borderId="12" xfId="3" applyNumberFormat="1" applyFont="1" applyFill="1" applyBorder="1"/>
    <xf numFmtId="9" fontId="16" fillId="3" borderId="0" xfId="3" applyNumberFormat="1" applyFont="1" applyFill="1" applyAlignment="1">
      <alignment horizontal="center"/>
    </xf>
    <xf numFmtId="44" fontId="16" fillId="3" borderId="5" xfId="3" applyNumberFormat="1" applyFont="1" applyFill="1" applyBorder="1"/>
    <xf numFmtId="0" fontId="15" fillId="3" borderId="0" xfId="3" applyFont="1" applyFill="1" applyAlignment="1">
      <alignment horizontal="left"/>
    </xf>
    <xf numFmtId="44" fontId="15" fillId="3" borderId="0" xfId="3" applyNumberFormat="1" applyFont="1" applyFill="1"/>
    <xf numFmtId="0" fontId="23" fillId="3" borderId="0" xfId="0" applyFont="1" applyFill="1" applyBorder="1" applyAlignment="1">
      <alignment horizontal="center"/>
    </xf>
    <xf numFmtId="49" fontId="24" fillId="3" borderId="0" xfId="0" applyNumberFormat="1" applyFont="1" applyFill="1" applyBorder="1" applyAlignment="1">
      <alignment horizontal="center"/>
    </xf>
    <xf numFmtId="0" fontId="1" fillId="3" borderId="0" xfId="0" applyFont="1" applyFill="1" applyBorder="1"/>
    <xf numFmtId="0" fontId="2" fillId="3" borderId="0" xfId="0" applyFont="1" applyFill="1" applyBorder="1"/>
    <xf numFmtId="0" fontId="2" fillId="3" borderId="0" xfId="0" quotePrefix="1" applyFont="1" applyFill="1" applyBorder="1"/>
    <xf numFmtId="44" fontId="16" fillId="0" borderId="5" xfId="3" applyNumberFormat="1" applyFont="1" applyBorder="1"/>
    <xf numFmtId="44" fontId="16" fillId="0" borderId="5" xfId="3" applyNumberFormat="1" applyFont="1" applyFill="1" applyBorder="1"/>
    <xf numFmtId="9" fontId="0" fillId="0" borderId="5" xfId="0" applyNumberFormat="1" applyBorder="1" applyAlignment="1">
      <alignment horizontal="center"/>
    </xf>
    <xf numFmtId="44" fontId="14" fillId="3" borderId="1" xfId="4" applyNumberFormat="1" applyFont="1" applyFill="1" applyBorder="1"/>
    <xf numFmtId="0" fontId="16" fillId="0" borderId="0" xfId="0" applyFont="1" applyFill="1"/>
    <xf numFmtId="0" fontId="12" fillId="0" borderId="31" xfId="0" applyFont="1" applyFill="1" applyBorder="1" applyAlignment="1">
      <alignment vertical="center"/>
    </xf>
    <xf numFmtId="0" fontId="8" fillId="0" borderId="31" xfId="0" applyFont="1" applyFill="1" applyBorder="1" applyAlignment="1">
      <alignment vertical="center"/>
    </xf>
    <xf numFmtId="0" fontId="16" fillId="3" borderId="0" xfId="0" applyFont="1" applyFill="1" applyBorder="1"/>
    <xf numFmtId="0" fontId="0" fillId="0" borderId="6" xfId="0" applyBorder="1"/>
    <xf numFmtId="0" fontId="1" fillId="0" borderId="6" xfId="0" applyFont="1" applyBorder="1"/>
    <xf numFmtId="44" fontId="0" fillId="0" borderId="29" xfId="0" applyNumberFormat="1" applyBorder="1"/>
    <xf numFmtId="44" fontId="0" fillId="0" borderId="30" xfId="0" applyNumberFormat="1" applyBorder="1"/>
    <xf numFmtId="0" fontId="0" fillId="0" borderId="0" xfId="0"/>
    <xf numFmtId="44" fontId="0" fillId="0" borderId="7" xfId="0" applyNumberFormat="1" applyBorder="1"/>
    <xf numFmtId="44" fontId="1" fillId="0" borderId="12" xfId="0" applyNumberFormat="1" applyFont="1" applyBorder="1"/>
    <xf numFmtId="44" fontId="0" fillId="0" borderId="0" xfId="0" applyNumberFormat="1"/>
    <xf numFmtId="0" fontId="16" fillId="3" borderId="0" xfId="3" applyFont="1" applyFill="1" applyAlignment="1">
      <alignment horizontal="left"/>
    </xf>
    <xf numFmtId="44" fontId="16" fillId="0" borderId="0" xfId="3" applyNumberFormat="1" applyFont="1"/>
    <xf numFmtId="44" fontId="14" fillId="0" borderId="0" xfId="3" applyNumberFormat="1" applyFont="1" applyAlignment="1">
      <alignment horizontal="center"/>
    </xf>
    <xf numFmtId="44" fontId="16" fillId="0" borderId="0" xfId="3" applyNumberFormat="1" applyFont="1" applyFill="1"/>
    <xf numFmtId="44" fontId="14" fillId="0" borderId="0" xfId="3" applyNumberFormat="1" applyFont="1"/>
    <xf numFmtId="44" fontId="16" fillId="3" borderId="0" xfId="3" applyNumberFormat="1" applyFont="1" applyFill="1"/>
    <xf numFmtId="44" fontId="16" fillId="0" borderId="0" xfId="3" applyNumberFormat="1" applyFont="1" applyAlignment="1">
      <alignment horizontal="left"/>
    </xf>
    <xf numFmtId="0" fontId="14" fillId="3" borderId="0" xfId="3" applyFont="1" applyFill="1" applyAlignment="1">
      <alignment horizontal="center"/>
    </xf>
    <xf numFmtId="0" fontId="16" fillId="3" borderId="0" xfId="3" applyFont="1" applyFill="1" applyAlignment="1">
      <alignment horizontal="center"/>
    </xf>
    <xf numFmtId="0" fontId="15" fillId="3" borderId="0" xfId="3" applyFont="1" applyFill="1" applyAlignment="1">
      <alignment horizontal="left"/>
    </xf>
    <xf numFmtId="44" fontId="15" fillId="3" borderId="0" xfId="3" applyNumberFormat="1" applyFont="1" applyFill="1"/>
    <xf numFmtId="0" fontId="25" fillId="4" borderId="31" xfId="0" applyFont="1" applyFill="1" applyBorder="1" applyAlignment="1">
      <alignment horizontal="center" vertical="center"/>
    </xf>
    <xf numFmtId="44" fontId="0" fillId="0" borderId="27" xfId="0" applyNumberFormat="1" applyBorder="1"/>
    <xf numFmtId="0" fontId="1" fillId="0" borderId="2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4" fontId="0" fillId="5" borderId="0" xfId="0" applyNumberFormat="1" applyFill="1" applyBorder="1"/>
    <xf numFmtId="44" fontId="1" fillId="5" borderId="0" xfId="0" applyNumberFormat="1" applyFont="1" applyFill="1" applyBorder="1"/>
    <xf numFmtId="44" fontId="14" fillId="5" borderId="0" xfId="3" applyNumberFormat="1" applyFont="1" applyFill="1"/>
    <xf numFmtId="44" fontId="29" fillId="5" borderId="7" xfId="4" applyNumberFormat="1" applyFont="1" applyFill="1" applyBorder="1"/>
    <xf numFmtId="44" fontId="0" fillId="5" borderId="16" xfId="0" applyNumberFormat="1" applyFill="1" applyBorder="1"/>
    <xf numFmtId="44" fontId="1" fillId="0" borderId="29" xfId="0" applyNumberFormat="1" applyFont="1" applyBorder="1"/>
    <xf numFmtId="44" fontId="6" fillId="5" borderId="1" xfId="0" applyNumberFormat="1" applyFont="1" applyFill="1" applyBorder="1"/>
    <xf numFmtId="44" fontId="1" fillId="0" borderId="0" xfId="0" applyNumberFormat="1" applyFont="1" applyBorder="1" applyAlignment="1">
      <alignment horizontal="center"/>
    </xf>
    <xf numFmtId="0" fontId="16" fillId="3" borderId="6" xfId="5" applyFont="1" applyFill="1" applyBorder="1" applyAlignment="1">
      <alignment horizontal="center"/>
    </xf>
    <xf numFmtId="44" fontId="1" fillId="0" borderId="1" xfId="0" applyNumberFormat="1" applyFont="1" applyBorder="1"/>
    <xf numFmtId="44" fontId="14" fillId="3" borderId="0" xfId="3" applyNumberFormat="1" applyFont="1" applyFill="1" applyAlignment="1">
      <alignment horizontal="center"/>
    </xf>
    <xf numFmtId="44" fontId="1" fillId="0" borderId="0" xfId="0" applyNumberFormat="1" applyFont="1"/>
    <xf numFmtId="0" fontId="0" fillId="0" borderId="6" xfId="0" applyFill="1" applyBorder="1"/>
    <xf numFmtId="0" fontId="0" fillId="0" borderId="0" xfId="0" applyFill="1" applyBorder="1"/>
    <xf numFmtId="44" fontId="1" fillId="0" borderId="0" xfId="0" applyNumberFormat="1" applyFont="1" applyFill="1" applyBorder="1"/>
    <xf numFmtId="44" fontId="1" fillId="0" borderId="7" xfId="0" applyNumberFormat="1" applyFont="1" applyFill="1" applyBorder="1"/>
    <xf numFmtId="44" fontId="30" fillId="5" borderId="5" xfId="0" applyNumberFormat="1" applyFont="1" applyFill="1" applyBorder="1"/>
    <xf numFmtId="165" fontId="19" fillId="5" borderId="0" xfId="6" applyFill="1"/>
    <xf numFmtId="44" fontId="1" fillId="0" borderId="32" xfId="0" applyNumberFormat="1" applyFont="1" applyBorder="1"/>
    <xf numFmtId="44" fontId="28" fillId="5" borderId="1" xfId="0" applyNumberFormat="1" applyFont="1" applyFill="1" applyBorder="1"/>
    <xf numFmtId="0" fontId="0" fillId="3" borderId="0" xfId="1" applyNumberFormat="1" applyFont="1" applyFill="1" applyBorder="1"/>
    <xf numFmtId="0" fontId="2" fillId="3" borderId="0" xfId="1" applyNumberFormat="1" applyFont="1" applyFill="1" applyBorder="1" applyAlignment="1">
      <alignment horizontal="center"/>
    </xf>
    <xf numFmtId="43" fontId="24" fillId="3" borderId="0" xfId="1" applyFont="1" applyFill="1" applyBorder="1" applyAlignment="1">
      <alignment horizontal="center"/>
    </xf>
    <xf numFmtId="44" fontId="0" fillId="0" borderId="0" xfId="0" applyNumberFormat="1" applyAlignment="1">
      <alignment horizontal="left"/>
    </xf>
    <xf numFmtId="44" fontId="0" fillId="0" borderId="9" xfId="0" applyNumberFormat="1" applyBorder="1"/>
    <xf numFmtId="0" fontId="0" fillId="0" borderId="0" xfId="0" applyNumberFormat="1"/>
    <xf numFmtId="0" fontId="33" fillId="0" borderId="27" xfId="0" applyFont="1" applyBorder="1" applyAlignment="1">
      <alignment horizontal="center"/>
    </xf>
    <xf numFmtId="44" fontId="31" fillId="0" borderId="1" xfId="0" applyNumberFormat="1" applyFont="1" applyFill="1" applyBorder="1" applyAlignment="1">
      <alignment horizontal="right"/>
    </xf>
    <xf numFmtId="0" fontId="1" fillId="0" borderId="29" xfId="0" applyFont="1" applyBorder="1"/>
    <xf numFmtId="0" fontId="21" fillId="3" borderId="29" xfId="0" applyFont="1" applyFill="1" applyBorder="1"/>
    <xf numFmtId="44" fontId="1" fillId="5" borderId="0" xfId="2" applyFont="1" applyFill="1" applyBorder="1"/>
    <xf numFmtId="0" fontId="1" fillId="0" borderId="0" xfId="0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 wrapText="1"/>
    </xf>
    <xf numFmtId="9" fontId="0" fillId="0" borderId="0" xfId="0" applyNumberFormat="1" applyFill="1" applyBorder="1" applyAlignment="1">
      <alignment horizontal="center"/>
    </xf>
    <xf numFmtId="44" fontId="1" fillId="0" borderId="0" xfId="2" applyFont="1" applyFill="1" applyBorder="1"/>
    <xf numFmtId="44" fontId="1" fillId="0" borderId="0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/>
    </xf>
    <xf numFmtId="44" fontId="1" fillId="0" borderId="0" xfId="2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0" xfId="0" applyFont="1" applyBorder="1" applyAlignment="1">
      <alignment horizontal="center" vertical="center" wrapText="1"/>
    </xf>
    <xf numFmtId="44" fontId="2" fillId="5" borderId="0" xfId="2" applyFont="1" applyFill="1" applyBorder="1" applyAlignment="1">
      <alignment horizontal="center" vertical="center" wrapText="1"/>
    </xf>
    <xf numFmtId="44" fontId="30" fillId="0" borderId="1" xfId="0" applyNumberFormat="1" applyFont="1" applyFill="1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44" fontId="30" fillId="5" borderId="8" xfId="0" applyNumberFormat="1" applyFont="1" applyFill="1" applyBorder="1"/>
    <xf numFmtId="0" fontId="2" fillId="0" borderId="0" xfId="0" applyFont="1"/>
    <xf numFmtId="0" fontId="31" fillId="0" borderId="1" xfId="0" applyNumberFormat="1" applyFont="1" applyBorder="1" applyAlignment="1">
      <alignment horizontal="right"/>
    </xf>
    <xf numFmtId="44" fontId="34" fillId="0" borderId="0" xfId="0" applyNumberFormat="1" applyFont="1" applyAlignment="1">
      <alignment horizontal="right"/>
    </xf>
    <xf numFmtId="44" fontId="34" fillId="0" borderId="28" xfId="0" applyNumberFormat="1" applyFont="1" applyBorder="1" applyAlignment="1">
      <alignment horizontal="right"/>
    </xf>
    <xf numFmtId="44" fontId="34" fillId="0" borderId="29" xfId="0" applyNumberFormat="1" applyFont="1" applyBorder="1" applyAlignment="1">
      <alignment horizontal="right"/>
    </xf>
    <xf numFmtId="44" fontId="34" fillId="0" borderId="30" xfId="0" applyNumberFormat="1" applyFont="1" applyBorder="1" applyAlignment="1">
      <alignment horizontal="right"/>
    </xf>
    <xf numFmtId="44" fontId="0" fillId="0" borderId="1" xfId="0" applyNumberFormat="1" applyBorder="1"/>
    <xf numFmtId="4" fontId="34" fillId="0" borderId="1" xfId="0" applyNumberFormat="1" applyFont="1" applyBorder="1" applyAlignment="1">
      <alignment horizontal="right"/>
    </xf>
    <xf numFmtId="164" fontId="15" fillId="3" borderId="27" xfId="0" applyNumberFormat="1" applyFont="1" applyFill="1" applyBorder="1" applyAlignment="1">
      <alignment horizontal="center"/>
    </xf>
    <xf numFmtId="44" fontId="35" fillId="0" borderId="1" xfId="0" applyNumberFormat="1" applyFont="1" applyFill="1" applyBorder="1"/>
    <xf numFmtId="0" fontId="1" fillId="0" borderId="22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44" fontId="36" fillId="0" borderId="0" xfId="3" applyNumberFormat="1" applyFont="1"/>
    <xf numFmtId="44" fontId="36" fillId="3" borderId="0" xfId="3" applyNumberFormat="1" applyFont="1" applyFill="1"/>
    <xf numFmtId="44" fontId="14" fillId="0" borderId="5" xfId="3" applyNumberFormat="1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44" fontId="37" fillId="0" borderId="0" xfId="0" applyNumberFormat="1" applyFont="1" applyAlignment="1">
      <alignment horizontal="right"/>
    </xf>
    <xf numFmtId="0" fontId="37" fillId="0" borderId="0" xfId="0" applyFont="1"/>
    <xf numFmtId="44" fontId="37" fillId="0" borderId="28" xfId="0" applyNumberFormat="1" applyFont="1" applyBorder="1" applyAlignment="1">
      <alignment horizontal="right"/>
    </xf>
    <xf numFmtId="44" fontId="37" fillId="0" borderId="29" xfId="0" applyNumberFormat="1" applyFont="1" applyBorder="1" applyAlignment="1">
      <alignment horizontal="right"/>
    </xf>
    <xf numFmtId="44" fontId="37" fillId="0" borderId="30" xfId="0" applyNumberFormat="1" applyFont="1" applyBorder="1" applyAlignment="1">
      <alignment horizontal="right"/>
    </xf>
    <xf numFmtId="0" fontId="1" fillId="0" borderId="28" xfId="0" applyFont="1" applyBorder="1"/>
    <xf numFmtId="0" fontId="37" fillId="0" borderId="29" xfId="0" applyFont="1" applyBorder="1"/>
    <xf numFmtId="0" fontId="37" fillId="0" borderId="30" xfId="0" applyFont="1" applyBorder="1"/>
    <xf numFmtId="44" fontId="0" fillId="0" borderId="0" xfId="2" applyNumberFormat="1" applyFont="1"/>
    <xf numFmtId="0" fontId="37" fillId="0" borderId="33" xfId="0" applyFont="1" applyBorder="1"/>
    <xf numFmtId="0" fontId="37" fillId="0" borderId="22" xfId="0" applyFont="1" applyBorder="1"/>
    <xf numFmtId="44" fontId="1" fillId="0" borderId="5" xfId="2" applyNumberFormat="1" applyFont="1" applyBorder="1"/>
    <xf numFmtId="0" fontId="0" fillId="0" borderId="27" xfId="0" applyBorder="1"/>
    <xf numFmtId="0" fontId="40" fillId="0" borderId="0" xfId="0" applyFont="1"/>
    <xf numFmtId="0" fontId="39" fillId="0" borderId="27" xfId="0" applyFont="1" applyBorder="1"/>
    <xf numFmtId="0" fontId="6" fillId="0" borderId="0" xfId="0" applyFont="1"/>
    <xf numFmtId="43" fontId="40" fillId="0" borderId="0" xfId="1" applyFont="1"/>
    <xf numFmtId="43" fontId="39" fillId="0" borderId="27" xfId="1" applyFont="1" applyBorder="1"/>
    <xf numFmtId="43" fontId="0" fillId="0" borderId="0" xfId="1" applyFont="1"/>
    <xf numFmtId="43" fontId="39" fillId="0" borderId="27" xfId="0" applyNumberFormat="1" applyFont="1" applyBorder="1"/>
    <xf numFmtId="43" fontId="6" fillId="0" borderId="0" xfId="1" applyFont="1"/>
    <xf numFmtId="43" fontId="0" fillId="0" borderId="27" xfId="1" applyFont="1" applyBorder="1"/>
    <xf numFmtId="43" fontId="0" fillId="0" borderId="27" xfId="1" applyFont="1" applyFill="1" applyBorder="1"/>
    <xf numFmtId="0" fontId="39" fillId="0" borderId="27" xfId="0" applyFont="1" applyFill="1" applyBorder="1"/>
    <xf numFmtId="43" fontId="0" fillId="0" borderId="27" xfId="0" applyNumberFormat="1" applyBorder="1"/>
    <xf numFmtId="9" fontId="0" fillId="0" borderId="0" xfId="0" applyNumberFormat="1"/>
    <xf numFmtId="0" fontId="1" fillId="5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14" fontId="43" fillId="0" borderId="0" xfId="8" applyNumberFormat="1" applyFont="1"/>
    <xf numFmtId="43" fontId="0" fillId="0" borderId="0" xfId="0" applyNumberFormat="1"/>
    <xf numFmtId="0" fontId="1" fillId="6" borderId="6" xfId="0" applyFont="1" applyFill="1" applyBorder="1" applyAlignment="1">
      <alignment horizontal="center" vertical="center" wrapText="1"/>
    </xf>
    <xf numFmtId="0" fontId="43" fillId="0" borderId="0" xfId="0" applyFont="1"/>
    <xf numFmtId="0" fontId="44" fillId="0" borderId="0" xfId="0" applyFont="1"/>
    <xf numFmtId="14" fontId="43" fillId="0" borderId="0" xfId="8" applyNumberFormat="1" applyFont="1"/>
    <xf numFmtId="14" fontId="43" fillId="0" borderId="0" xfId="8" applyNumberFormat="1" applyFont="1"/>
    <xf numFmtId="14" fontId="43" fillId="0" borderId="0" xfId="8" applyNumberFormat="1" applyFont="1"/>
    <xf numFmtId="14" fontId="43" fillId="0" borderId="0" xfId="8" applyNumberFormat="1" applyFont="1"/>
    <xf numFmtId="14" fontId="42" fillId="0" borderId="0" xfId="7" applyNumberFormat="1" applyFont="1"/>
    <xf numFmtId="14" fontId="42" fillId="0" borderId="0" xfId="7" applyNumberFormat="1" applyFont="1"/>
    <xf numFmtId="44" fontId="1" fillId="5" borderId="0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2" fillId="0" borderId="0" xfId="0" applyFont="1"/>
    <xf numFmtId="17" fontId="0" fillId="0" borderId="0" xfId="0" applyNumberFormat="1"/>
    <xf numFmtId="43" fontId="0" fillId="0" borderId="0" xfId="9" applyFont="1"/>
    <xf numFmtId="0" fontId="45" fillId="0" borderId="0" xfId="0" applyFont="1"/>
    <xf numFmtId="0" fontId="13" fillId="0" borderId="0" xfId="0" applyFont="1"/>
    <xf numFmtId="43" fontId="13" fillId="0" borderId="16" xfId="9" applyFont="1" applyBorder="1"/>
    <xf numFmtId="0" fontId="28" fillId="0" borderId="0" xfId="0" applyFont="1" applyAlignment="1">
      <alignment horizontal="center"/>
    </xf>
    <xf numFmtId="0" fontId="1" fillId="5" borderId="0" xfId="0" applyFont="1" applyFill="1"/>
    <xf numFmtId="43" fontId="1" fillId="5" borderId="0" xfId="10" applyFont="1" applyFill="1"/>
    <xf numFmtId="43" fontId="0" fillId="0" borderId="0" xfId="10" applyFont="1"/>
    <xf numFmtId="0" fontId="0" fillId="0" borderId="0" xfId="0" applyAlignment="1">
      <alignment vertical="center"/>
    </xf>
    <xf numFmtId="43" fontId="0" fillId="0" borderId="0" xfId="10" applyFont="1" applyAlignment="1">
      <alignment vertical="center"/>
    </xf>
    <xf numFmtId="0" fontId="46" fillId="5" borderId="0" xfId="0" applyFont="1" applyFill="1" applyAlignment="1">
      <alignment horizontal="center" vertical="center" wrapText="1"/>
    </xf>
    <xf numFmtId="43" fontId="1" fillId="0" borderId="16" xfId="10" applyFont="1" applyBorder="1"/>
    <xf numFmtId="0" fontId="1" fillId="0" borderId="0" xfId="0" applyFont="1" applyAlignment="1">
      <alignment horizontal="center"/>
    </xf>
    <xf numFmtId="0" fontId="1" fillId="7" borderId="0" xfId="0" applyFont="1" applyFill="1"/>
    <xf numFmtId="43" fontId="1" fillId="7" borderId="0" xfId="10" applyFont="1" applyFill="1"/>
    <xf numFmtId="0" fontId="28" fillId="0" borderId="0" xfId="0" applyFont="1"/>
    <xf numFmtId="43" fontId="28" fillId="0" borderId="16" xfId="10" applyFont="1" applyBorder="1"/>
    <xf numFmtId="43" fontId="1" fillId="0" borderId="0" xfId="10" applyFont="1"/>
    <xf numFmtId="0" fontId="37" fillId="0" borderId="27" xfId="0" applyFont="1" applyBorder="1"/>
    <xf numFmtId="44" fontId="37" fillId="0" borderId="27" xfId="0" applyNumberFormat="1" applyFont="1" applyBorder="1" applyAlignment="1">
      <alignment horizontal="right"/>
    </xf>
    <xf numFmtId="0" fontId="37" fillId="0" borderId="27" xfId="0" applyFont="1" applyFill="1" applyBorder="1"/>
    <xf numFmtId="44" fontId="1" fillId="0" borderId="0" xfId="2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44" fontId="22" fillId="0" borderId="2" xfId="0" applyNumberFormat="1" applyFont="1" applyBorder="1" applyAlignment="1">
      <alignment horizontal="center"/>
    </xf>
    <xf numFmtId="44" fontId="22" fillId="0" borderId="3" xfId="0" applyNumberFormat="1" applyFont="1" applyBorder="1" applyAlignment="1">
      <alignment horizontal="center"/>
    </xf>
    <xf numFmtId="44" fontId="22" fillId="0" borderId="4" xfId="0" applyNumberFormat="1" applyFont="1" applyBorder="1" applyAlignment="1">
      <alignment horizontal="center"/>
    </xf>
    <xf numFmtId="44" fontId="22" fillId="0" borderId="2" xfId="3" applyNumberFormat="1" applyFont="1" applyBorder="1" applyAlignment="1">
      <alignment horizontal="center"/>
    </xf>
    <xf numFmtId="44" fontId="22" fillId="0" borderId="3" xfId="3" applyNumberFormat="1" applyFont="1" applyBorder="1" applyAlignment="1">
      <alignment horizontal="center"/>
    </xf>
    <xf numFmtId="44" fontId="22" fillId="0" borderId="4" xfId="3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8" fillId="0" borderId="0" xfId="0" applyFont="1" applyAlignment="1">
      <alignment horizontal="center"/>
    </xf>
  </cellXfs>
  <cellStyles count="13">
    <cellStyle name="Millares" xfId="1" builtinId="3"/>
    <cellStyle name="Millares 2" xfId="9" xr:uid="{47EF6A83-D931-4331-ADDB-2B33A0F6F468}"/>
    <cellStyle name="Millares 2 2" xfId="10" xr:uid="{FC242573-CE4D-4CE5-A32C-FBABD3CFF3E7}"/>
    <cellStyle name="Millares_MVI_CIERRE08" xfId="4" xr:uid="{00000000-0005-0000-0000-000001000000}"/>
    <cellStyle name="Moneda" xfId="2" builtinId="4"/>
    <cellStyle name="Normal" xfId="0" builtinId="0"/>
    <cellStyle name="Normal 2" xfId="7" xr:uid="{00000000-0005-0000-0000-000004000000}"/>
    <cellStyle name="Normal 3" xfId="8" xr:uid="{557DCE03-D3BD-4B7C-8C12-6BCC585E39C2}"/>
    <cellStyle name="Normal_AJUSTE_ANUAL_2006" xfId="6" xr:uid="{00000000-0005-0000-0000-000005000000}"/>
    <cellStyle name="Normal_B0103001" xfId="5" xr:uid="{00000000-0005-0000-0000-000006000000}"/>
    <cellStyle name="Normal_CONFIS CRISTA" xfId="3" xr:uid="{00000000-0005-0000-0000-000007000000}"/>
    <cellStyle name="Porcentaje 2" xfId="11" xr:uid="{4CC74A05-22A9-4BBE-94DD-3546CBC6F8AB}"/>
    <cellStyle name="Porcentual 2" xfId="12" xr:uid="{34C8CF02-0B91-4AC9-B226-8453762A5AB0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42"/>
  <sheetViews>
    <sheetView tabSelected="1" zoomScaleNormal="100" workbookViewId="0">
      <selection activeCell="C15" sqref="C15"/>
    </sheetView>
  </sheetViews>
  <sheetFormatPr baseColWidth="10" defaultRowHeight="15" x14ac:dyDescent="0.25"/>
  <cols>
    <col min="1" max="1" width="37.140625" customWidth="1"/>
    <col min="2" max="2" width="16.140625" customWidth="1"/>
    <col min="3" max="3" width="15.42578125" customWidth="1"/>
    <col min="4" max="4" width="19.42578125" customWidth="1"/>
    <col min="5" max="5" width="19.5703125" customWidth="1"/>
    <col min="6" max="6" width="19.5703125" style="206" customWidth="1"/>
    <col min="7" max="7" width="20.85546875" customWidth="1"/>
    <col min="8" max="8" width="20.28515625" customWidth="1"/>
    <col min="9" max="9" width="13.140625" customWidth="1"/>
    <col min="10" max="10" width="23.140625" customWidth="1"/>
    <col min="11" max="11" width="11.42578125" customWidth="1"/>
  </cols>
  <sheetData>
    <row r="1" spans="1:17" ht="15.75" thickBot="1" x14ac:dyDescent="0.3">
      <c r="A1" s="362" t="s">
        <v>253</v>
      </c>
      <c r="B1" s="363"/>
      <c r="C1" s="363"/>
      <c r="D1" s="363"/>
      <c r="E1" s="363"/>
      <c r="F1" s="363"/>
      <c r="G1" s="363"/>
      <c r="H1" s="363"/>
      <c r="I1" s="363"/>
      <c r="J1" s="364"/>
      <c r="K1" s="2"/>
      <c r="L1" s="2"/>
      <c r="M1" s="2"/>
      <c r="N1" s="2"/>
      <c r="O1" s="2"/>
      <c r="P1" s="2"/>
      <c r="Q1" s="3"/>
    </row>
    <row r="2" spans="1:17" ht="30.75" thickBot="1" x14ac:dyDescent="0.3">
      <c r="A2" s="267" t="s">
        <v>0</v>
      </c>
      <c r="B2" s="267" t="s">
        <v>1</v>
      </c>
      <c r="C2" s="267" t="s">
        <v>45</v>
      </c>
      <c r="D2" s="268" t="s">
        <v>2</v>
      </c>
      <c r="E2" s="267" t="s">
        <v>209</v>
      </c>
      <c r="F2" s="267" t="s">
        <v>3</v>
      </c>
      <c r="G2" s="267" t="s">
        <v>142</v>
      </c>
      <c r="H2" s="269" t="s">
        <v>141</v>
      </c>
      <c r="I2" s="269" t="s">
        <v>4</v>
      </c>
      <c r="J2" s="269" t="s">
        <v>255</v>
      </c>
      <c r="K2" s="270"/>
    </row>
    <row r="3" spans="1:17" s="206" customFormat="1" x14ac:dyDescent="0.25">
      <c r="A3" s="274"/>
      <c r="B3" s="262"/>
      <c r="C3" s="262"/>
      <c r="D3" s="271"/>
      <c r="E3" s="262"/>
      <c r="F3" s="262"/>
      <c r="G3" s="262"/>
      <c r="H3" s="261"/>
      <c r="I3" s="261"/>
      <c r="J3" s="275"/>
      <c r="K3" s="5"/>
    </row>
    <row r="4" spans="1:17" s="206" customFormat="1" x14ac:dyDescent="0.25">
      <c r="A4" s="274"/>
      <c r="B4" s="262"/>
      <c r="C4" s="262"/>
      <c r="D4" s="271"/>
      <c r="E4" s="262"/>
      <c r="F4" s="262"/>
      <c r="G4" s="262"/>
      <c r="H4" s="261"/>
      <c r="I4" s="261"/>
      <c r="J4" s="275"/>
      <c r="K4" s="5"/>
    </row>
    <row r="5" spans="1:17" s="206" customFormat="1" x14ac:dyDescent="0.25">
      <c r="A5" s="322" t="s">
        <v>295</v>
      </c>
      <c r="B5" s="262"/>
      <c r="C5" s="262"/>
      <c r="D5" s="271"/>
      <c r="E5" s="262"/>
      <c r="F5" s="262"/>
      <c r="G5" s="262"/>
      <c r="H5" s="261"/>
      <c r="I5" s="261"/>
      <c r="J5" s="275"/>
      <c r="K5" s="5"/>
    </row>
    <row r="6" spans="1:17" s="206" customFormat="1" ht="15.75" x14ac:dyDescent="0.25">
      <c r="A6" s="327" t="s">
        <v>285</v>
      </c>
      <c r="B6" s="330">
        <v>43896</v>
      </c>
      <c r="C6" s="264">
        <v>0.1</v>
      </c>
      <c r="D6" s="272">
        <v>27167</v>
      </c>
      <c r="E6" s="336">
        <f t="shared" ref="E6:E16" si="0">+(D6*0.1)/12</f>
        <v>226.39166666666668</v>
      </c>
      <c r="F6" s="265">
        <f t="shared" ref="F6:F19" si="1">+E6*12</f>
        <v>2716.7000000000003</v>
      </c>
      <c r="G6" s="295">
        <v>113.018</v>
      </c>
      <c r="H6" s="328">
        <v>106.83799999999999</v>
      </c>
      <c r="I6" s="261">
        <f t="shared" ref="I6:I15" si="2">+G6/H6</f>
        <v>1.0578445871319193</v>
      </c>
      <c r="J6" s="276">
        <f t="shared" ref="J6:J16" si="3">+F6*I6</f>
        <v>2873.8463898612854</v>
      </c>
    </row>
    <row r="7" spans="1:17" s="206" customFormat="1" ht="15.75" x14ac:dyDescent="0.25">
      <c r="A7" s="327" t="s">
        <v>286</v>
      </c>
      <c r="B7" s="330">
        <v>43896</v>
      </c>
      <c r="C7" s="264">
        <v>0.1</v>
      </c>
      <c r="D7" s="272">
        <v>12818</v>
      </c>
      <c r="E7" s="336">
        <f t="shared" si="0"/>
        <v>106.81666666666668</v>
      </c>
      <c r="F7" s="265">
        <f t="shared" si="1"/>
        <v>1281.8000000000002</v>
      </c>
      <c r="G7" s="295">
        <v>113.018</v>
      </c>
      <c r="H7" s="328">
        <v>106.83799999999999</v>
      </c>
      <c r="I7" s="261">
        <f t="shared" si="2"/>
        <v>1.0578445871319193</v>
      </c>
      <c r="J7" s="276">
        <f t="shared" si="3"/>
        <v>1355.9451917856943</v>
      </c>
    </row>
    <row r="8" spans="1:17" ht="15.75" x14ac:dyDescent="0.25">
      <c r="A8" s="324" t="s">
        <v>287</v>
      </c>
      <c r="B8" s="330">
        <v>43896</v>
      </c>
      <c r="C8" s="264">
        <v>0.1</v>
      </c>
      <c r="D8" s="255">
        <v>3410</v>
      </c>
      <c r="E8" s="336">
        <f t="shared" si="0"/>
        <v>28.416666666666668</v>
      </c>
      <c r="F8" s="265">
        <f t="shared" si="1"/>
        <v>341</v>
      </c>
      <c r="G8" s="295">
        <v>113.018</v>
      </c>
      <c r="H8" s="328">
        <v>106.83799999999999</v>
      </c>
      <c r="I8" s="261">
        <f t="shared" si="2"/>
        <v>1.0578445871319193</v>
      </c>
      <c r="J8" s="276">
        <f t="shared" si="3"/>
        <v>360.72500421198447</v>
      </c>
    </row>
    <row r="9" spans="1:17" x14ac:dyDescent="0.25">
      <c r="A9" s="324" t="s">
        <v>288</v>
      </c>
      <c r="B9" s="263">
        <v>44316</v>
      </c>
      <c r="C9" s="264">
        <v>0.1</v>
      </c>
      <c r="D9" s="255">
        <v>16147.15</v>
      </c>
      <c r="E9" s="336">
        <f>+(D9*0.1)/12</f>
        <v>134.55958333333334</v>
      </c>
      <c r="F9" s="265">
        <f>+E9*8</f>
        <v>1076.4766666666667</v>
      </c>
      <c r="G9" s="329">
        <v>113.899</v>
      </c>
      <c r="H9" s="329">
        <v>112.419</v>
      </c>
      <c r="I9" s="261">
        <f t="shared" si="2"/>
        <v>1.0131650343803094</v>
      </c>
      <c r="J9" s="276">
        <f t="shared" si="3"/>
        <v>1090.6485189929342</v>
      </c>
    </row>
    <row r="10" spans="1:17" s="206" customFormat="1" ht="15.75" x14ac:dyDescent="0.25">
      <c r="A10" s="323" t="s">
        <v>296</v>
      </c>
      <c r="B10" s="325"/>
      <c r="C10" s="264"/>
      <c r="D10" s="255"/>
      <c r="E10" s="265"/>
      <c r="F10" s="265"/>
      <c r="G10" s="295"/>
      <c r="H10" s="261"/>
      <c r="I10" s="261"/>
      <c r="J10" s="276"/>
    </row>
    <row r="11" spans="1:17" s="206" customFormat="1" ht="15.75" x14ac:dyDescent="0.25">
      <c r="A11" s="324" t="s">
        <v>289</v>
      </c>
      <c r="B11" s="331">
        <v>43896</v>
      </c>
      <c r="C11" s="258">
        <v>0.25</v>
      </c>
      <c r="D11" s="255">
        <v>142241.38</v>
      </c>
      <c r="E11" s="260">
        <f>+(D11*0.25)/12</f>
        <v>2963.3620833333334</v>
      </c>
      <c r="F11" s="336">
        <f t="shared" si="1"/>
        <v>35560.345000000001</v>
      </c>
      <c r="G11" s="295">
        <v>113.018</v>
      </c>
      <c r="H11" s="328">
        <v>106.83799999999999</v>
      </c>
      <c r="I11" s="261">
        <f t="shared" si="2"/>
        <v>1.0578445871319193</v>
      </c>
      <c r="J11" s="276">
        <f t="shared" si="3"/>
        <v>37617.31847479361</v>
      </c>
    </row>
    <row r="12" spans="1:17" s="206" customFormat="1" x14ac:dyDescent="0.25">
      <c r="A12" s="323" t="s">
        <v>297</v>
      </c>
      <c r="B12" s="257"/>
      <c r="C12" s="258"/>
      <c r="D12" s="255"/>
      <c r="E12" s="260"/>
      <c r="F12" s="265"/>
      <c r="G12" s="295"/>
      <c r="H12" s="261"/>
      <c r="I12" s="261"/>
      <c r="J12" s="276"/>
    </row>
    <row r="13" spans="1:17" s="206" customFormat="1" ht="15.75" x14ac:dyDescent="0.25">
      <c r="A13" s="324" t="s">
        <v>290</v>
      </c>
      <c r="B13" s="332">
        <v>43896</v>
      </c>
      <c r="C13" s="258">
        <v>0.3</v>
      </c>
      <c r="D13" s="255">
        <v>26400</v>
      </c>
      <c r="E13" s="260">
        <f>+(D13*0.3)/12</f>
        <v>660</v>
      </c>
      <c r="F13" s="336">
        <f t="shared" si="1"/>
        <v>7920</v>
      </c>
      <c r="G13" s="295">
        <v>113.018</v>
      </c>
      <c r="H13" s="328">
        <v>106.83799999999999</v>
      </c>
      <c r="I13" s="261">
        <f>+G13/H13</f>
        <v>1.0578445871319193</v>
      </c>
      <c r="J13" s="276">
        <f t="shared" si="3"/>
        <v>8378.1291300848006</v>
      </c>
    </row>
    <row r="14" spans="1:17" s="206" customFormat="1" x14ac:dyDescent="0.25">
      <c r="A14" s="323" t="s">
        <v>298</v>
      </c>
      <c r="B14" s="257"/>
      <c r="C14" s="258"/>
      <c r="D14" s="255"/>
      <c r="E14" s="260"/>
      <c r="F14" s="265"/>
      <c r="G14" s="295"/>
      <c r="H14" s="261"/>
      <c r="I14" s="261"/>
      <c r="J14" s="276"/>
    </row>
    <row r="15" spans="1:17" s="206" customFormat="1" ht="15.75" x14ac:dyDescent="0.25">
      <c r="A15" s="277" t="s">
        <v>291</v>
      </c>
      <c r="B15" s="334">
        <v>43896</v>
      </c>
      <c r="C15" s="258">
        <v>0.1</v>
      </c>
      <c r="D15" s="255">
        <v>3600</v>
      </c>
      <c r="E15" s="260">
        <f t="shared" si="0"/>
        <v>30</v>
      </c>
      <c r="F15" s="336">
        <f t="shared" si="1"/>
        <v>360</v>
      </c>
      <c r="G15" s="295">
        <v>113.018</v>
      </c>
      <c r="H15" s="328">
        <v>106.83799999999999</v>
      </c>
      <c r="I15" s="261">
        <f t="shared" si="2"/>
        <v>1.0578445871319193</v>
      </c>
      <c r="J15" s="276">
        <f t="shared" si="3"/>
        <v>380.82405136749094</v>
      </c>
    </row>
    <row r="16" spans="1:17" s="206" customFormat="1" ht="15.75" x14ac:dyDescent="0.25">
      <c r="A16" s="277" t="s">
        <v>292</v>
      </c>
      <c r="B16" s="333">
        <v>43896</v>
      </c>
      <c r="C16" s="258">
        <v>0.1</v>
      </c>
      <c r="D16" s="255">
        <v>4600</v>
      </c>
      <c r="E16" s="260">
        <f t="shared" si="0"/>
        <v>38.333333333333336</v>
      </c>
      <c r="F16" s="336">
        <f t="shared" si="1"/>
        <v>460</v>
      </c>
      <c r="G16" s="295">
        <v>113.018</v>
      </c>
      <c r="H16" s="328">
        <v>106.83799999999999</v>
      </c>
      <c r="I16" s="261">
        <f>+G16/H16</f>
        <v>1.0578445871319193</v>
      </c>
      <c r="J16" s="276">
        <f t="shared" si="3"/>
        <v>486.60851008068289</v>
      </c>
    </row>
    <row r="17" spans="1:15" s="206" customFormat="1" ht="15.75" x14ac:dyDescent="0.25">
      <c r="A17" s="277" t="s">
        <v>293</v>
      </c>
      <c r="B17" s="333">
        <v>43896</v>
      </c>
      <c r="C17" s="258">
        <v>0.1</v>
      </c>
      <c r="D17" s="255">
        <v>7100</v>
      </c>
      <c r="E17" s="260">
        <f t="shared" ref="E17" si="4">+(D17*0.1)/12</f>
        <v>59.166666666666664</v>
      </c>
      <c r="F17" s="336">
        <f t="shared" si="1"/>
        <v>710</v>
      </c>
      <c r="G17" s="295">
        <v>113.018</v>
      </c>
      <c r="H17" s="328">
        <v>106.83799999999999</v>
      </c>
      <c r="I17" s="261">
        <f t="shared" ref="I17:I19" si="5">+G17/H17</f>
        <v>1.0578445871319193</v>
      </c>
      <c r="J17" s="276">
        <f>+F17*I17</f>
        <v>751.06965686366266</v>
      </c>
    </row>
    <row r="18" spans="1:15" s="206" customFormat="1" x14ac:dyDescent="0.25">
      <c r="A18" s="323" t="s">
        <v>299</v>
      </c>
      <c r="B18" s="257"/>
      <c r="C18" s="258"/>
      <c r="D18" s="255"/>
      <c r="E18" s="260">
        <f>+(D18*0.1)/12</f>
        <v>0</v>
      </c>
      <c r="F18" s="265">
        <f t="shared" si="1"/>
        <v>0</v>
      </c>
      <c r="G18" s="295"/>
      <c r="H18" s="266"/>
      <c r="I18" s="261"/>
      <c r="J18" s="276"/>
    </row>
    <row r="19" spans="1:15" s="206" customFormat="1" ht="15.75" x14ac:dyDescent="0.25">
      <c r="A19" s="277" t="s">
        <v>294</v>
      </c>
      <c r="B19" s="335">
        <v>43896</v>
      </c>
      <c r="C19" s="258">
        <v>0.15</v>
      </c>
      <c r="D19" s="255">
        <v>17450</v>
      </c>
      <c r="E19" s="260">
        <f>+(D19*0.15)/12</f>
        <v>218.125</v>
      </c>
      <c r="F19" s="265">
        <f t="shared" si="1"/>
        <v>2617.5</v>
      </c>
      <c r="G19" s="295">
        <v>113.018</v>
      </c>
      <c r="H19" s="328">
        <v>106.83799999999999</v>
      </c>
      <c r="I19" s="261">
        <f t="shared" si="5"/>
        <v>1.0578445871319193</v>
      </c>
      <c r="J19" s="276">
        <f>+F19*I19</f>
        <v>2768.9082068177986</v>
      </c>
    </row>
    <row r="20" spans="1:15" s="206" customFormat="1" ht="15.75" thickBot="1" x14ac:dyDescent="0.3">
      <c r="A20" s="277"/>
      <c r="B20" s="257"/>
      <c r="C20" s="258"/>
      <c r="D20" s="259"/>
      <c r="E20" s="260"/>
      <c r="F20" s="260"/>
      <c r="G20" s="266"/>
      <c r="H20" s="266"/>
      <c r="I20" s="266"/>
      <c r="J20" s="266"/>
    </row>
    <row r="21" spans="1:15" ht="15.75" thickBot="1" x14ac:dyDescent="0.3">
      <c r="A21" s="237"/>
      <c r="B21" s="238"/>
      <c r="C21" s="238"/>
      <c r="D21" s="273">
        <f>SUM(D6:D19)</f>
        <v>260933.53</v>
      </c>
      <c r="E21" s="273">
        <f>SUM(E6:E19)</f>
        <v>4465.1716666666671</v>
      </c>
      <c r="F21" s="273">
        <f>SUM(F6:F19)</f>
        <v>53043.82166666667</v>
      </c>
      <c r="G21" s="238"/>
      <c r="H21" s="256"/>
      <c r="I21" s="238"/>
      <c r="J21" s="273">
        <f>SUM(J6:J20)</f>
        <v>56064.023134859941</v>
      </c>
    </row>
    <row r="22" spans="1:15" s="206" customFormat="1" x14ac:dyDescent="0.25">
      <c r="A22" s="237"/>
      <c r="B22" s="238"/>
      <c r="C22" s="238"/>
      <c r="D22" s="35"/>
      <c r="E22" s="239"/>
      <c r="F22" s="239"/>
      <c r="G22" s="238"/>
      <c r="H22" s="256"/>
      <c r="I22" s="238"/>
      <c r="J22" s="240"/>
    </row>
    <row r="23" spans="1:15" s="206" customFormat="1" x14ac:dyDescent="0.25">
      <c r="A23" s="202"/>
      <c r="B23" s="5"/>
      <c r="C23" s="5"/>
      <c r="D23" s="7"/>
      <c r="E23" s="21"/>
      <c r="F23" s="21"/>
      <c r="G23" s="5"/>
      <c r="H23" s="9"/>
      <c r="I23" s="5"/>
      <c r="J23" s="36"/>
    </row>
    <row r="24" spans="1:15" s="206" customFormat="1" ht="15.75" thickBot="1" x14ac:dyDescent="0.3">
      <c r="A24" s="202"/>
      <c r="B24" s="5"/>
      <c r="C24" s="5"/>
      <c r="D24" s="7"/>
      <c r="E24" s="232" t="s">
        <v>46</v>
      </c>
      <c r="F24" s="241">
        <f>+F21</f>
        <v>53043.82166666667</v>
      </c>
      <c r="G24" s="5"/>
      <c r="H24" s="9"/>
      <c r="I24" s="232" t="s">
        <v>46</v>
      </c>
      <c r="J24" s="278">
        <f>+J21</f>
        <v>56064.023134859941</v>
      </c>
    </row>
    <row r="25" spans="1:15" s="206" customFormat="1" x14ac:dyDescent="0.25">
      <c r="A25" s="202"/>
      <c r="B25" s="5"/>
      <c r="C25" s="5"/>
      <c r="D25" s="7"/>
      <c r="E25" s="21"/>
      <c r="F25" s="21"/>
      <c r="G25" s="5"/>
      <c r="H25" s="9"/>
      <c r="I25" s="5"/>
      <c r="J25" s="36"/>
    </row>
    <row r="26" spans="1:15" x14ac:dyDescent="0.25">
      <c r="A26" s="202" t="s">
        <v>6</v>
      </c>
      <c r="B26" s="5"/>
      <c r="C26" s="5"/>
      <c r="D26" s="5"/>
      <c r="E26" s="5"/>
      <c r="F26" s="5"/>
      <c r="G26" s="5"/>
      <c r="H26" s="5"/>
      <c r="I26" s="5"/>
      <c r="J26" s="10"/>
    </row>
    <row r="27" spans="1:15" x14ac:dyDescent="0.25">
      <c r="A27" s="202" t="s">
        <v>254</v>
      </c>
      <c r="B27" s="5"/>
      <c r="C27" s="5"/>
      <c r="D27" s="5"/>
      <c r="E27" s="5"/>
      <c r="F27" s="5"/>
      <c r="G27" s="5"/>
      <c r="H27" s="5"/>
      <c r="I27" s="5"/>
      <c r="J27" s="10"/>
    </row>
    <row r="28" spans="1:15" x14ac:dyDescent="0.25">
      <c r="A28" s="202" t="s">
        <v>206</v>
      </c>
      <c r="B28" s="5"/>
      <c r="C28" s="5"/>
      <c r="D28" s="5"/>
      <c r="E28" s="5"/>
      <c r="F28" s="5"/>
      <c r="G28" s="5"/>
      <c r="H28" s="5"/>
      <c r="I28" s="5"/>
      <c r="J28" s="10"/>
    </row>
    <row r="29" spans="1:15" ht="15.75" thickBot="1" x14ac:dyDescent="0.3">
      <c r="A29" s="11"/>
      <c r="B29" s="4"/>
      <c r="C29" s="4"/>
      <c r="D29" s="4"/>
      <c r="E29" s="4"/>
      <c r="F29" s="4"/>
      <c r="G29" s="4"/>
      <c r="H29" s="4"/>
      <c r="I29" s="4"/>
      <c r="J29" s="12"/>
    </row>
    <row r="30" spans="1:15" s="206" customForma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2" spans="1:15" x14ac:dyDescent="0.25">
      <c r="A32" s="206"/>
      <c r="B32" s="251" t="s">
        <v>213</v>
      </c>
      <c r="C32" s="251" t="s">
        <v>214</v>
      </c>
      <c r="D32" s="251" t="s">
        <v>215</v>
      </c>
      <c r="E32" s="251" t="s">
        <v>216</v>
      </c>
      <c r="F32" s="251" t="s">
        <v>217</v>
      </c>
      <c r="G32" s="251" t="s">
        <v>218</v>
      </c>
      <c r="H32" s="251" t="s">
        <v>219</v>
      </c>
      <c r="I32" s="251" t="s">
        <v>220</v>
      </c>
      <c r="J32" s="251" t="s">
        <v>221</v>
      </c>
      <c r="K32" s="251" t="s">
        <v>222</v>
      </c>
      <c r="L32" s="251" t="s">
        <v>223</v>
      </c>
      <c r="M32" s="251" t="s">
        <v>224</v>
      </c>
      <c r="O32" s="206"/>
    </row>
    <row r="33" spans="1:16" x14ac:dyDescent="0.25">
      <c r="A33" s="294">
        <v>2021</v>
      </c>
      <c r="B33" s="294">
        <v>110.21</v>
      </c>
      <c r="C33" s="294">
        <v>110.907</v>
      </c>
      <c r="D33" s="294">
        <v>111.824</v>
      </c>
      <c r="E33" s="294">
        <v>112.19</v>
      </c>
      <c r="F33" s="294">
        <v>112.419</v>
      </c>
      <c r="G33" s="294">
        <v>113.018</v>
      </c>
      <c r="H33" s="294">
        <v>113.682</v>
      </c>
      <c r="I33" s="294">
        <v>113.899</v>
      </c>
      <c r="J33" s="294">
        <v>114.601</v>
      </c>
      <c r="K33" s="294">
        <v>115.56100000000001</v>
      </c>
      <c r="L33" s="294">
        <v>116.884</v>
      </c>
      <c r="M33" s="294">
        <v>117.30800000000001</v>
      </c>
      <c r="O33" s="206"/>
    </row>
    <row r="34" spans="1:16" x14ac:dyDescent="0.25">
      <c r="A34" s="59">
        <v>2020</v>
      </c>
      <c r="B34" s="59">
        <v>106.447</v>
      </c>
      <c r="C34" s="59">
        <v>106.889</v>
      </c>
      <c r="D34" s="59">
        <v>106.83799999999999</v>
      </c>
      <c r="E34" s="59">
        <v>105.755</v>
      </c>
      <c r="F34" s="59">
        <v>106.16200000000001</v>
      </c>
      <c r="G34" s="59">
        <v>106.74299999999999</v>
      </c>
      <c r="H34" s="59">
        <v>107.444</v>
      </c>
      <c r="I34" s="59">
        <v>107.867</v>
      </c>
      <c r="J34" s="59">
        <v>108.114</v>
      </c>
      <c r="K34" s="59">
        <v>108.774</v>
      </c>
      <c r="L34" s="59">
        <v>108.85599999999999</v>
      </c>
      <c r="M34" s="59">
        <v>109.271</v>
      </c>
      <c r="O34" s="206"/>
    </row>
    <row r="35" spans="1:16" x14ac:dyDescent="0.25">
      <c r="A35" s="279">
        <v>2019</v>
      </c>
      <c r="B35" s="59">
        <v>103.108</v>
      </c>
      <c r="C35" s="59">
        <v>103.07899999999999</v>
      </c>
      <c r="D35" s="59">
        <v>103.476</v>
      </c>
      <c r="E35" s="59">
        <v>103.53100000000001</v>
      </c>
      <c r="F35" s="59">
        <v>103.233</v>
      </c>
      <c r="G35" s="59">
        <v>103.29900000000001</v>
      </c>
      <c r="H35" s="59">
        <v>103.687</v>
      </c>
      <c r="I35" s="59">
        <v>103.67</v>
      </c>
      <c r="J35" s="59">
        <v>103.94199999999999</v>
      </c>
      <c r="K35" s="59">
        <v>104.503</v>
      </c>
      <c r="L35" s="59">
        <v>105.346</v>
      </c>
      <c r="M35" s="59">
        <v>105.934</v>
      </c>
      <c r="O35" s="206"/>
    </row>
    <row r="36" spans="1:16" x14ac:dyDescent="0.25">
      <c r="A36" s="279">
        <v>2018</v>
      </c>
      <c r="B36" s="59">
        <v>98.795000000000002</v>
      </c>
      <c r="C36" s="59">
        <v>99.171374</v>
      </c>
      <c r="D36" s="59">
        <v>99.492157000000006</v>
      </c>
      <c r="E36" s="59">
        <v>99.154847000000004</v>
      </c>
      <c r="F36" s="59">
        <v>98.994079999999997</v>
      </c>
      <c r="G36" s="59">
        <v>99.376464999999996</v>
      </c>
      <c r="H36" s="59">
        <v>99.909000000000006</v>
      </c>
      <c r="I36" s="59">
        <v>100.492</v>
      </c>
      <c r="J36" s="59">
        <v>100.917</v>
      </c>
      <c r="K36" s="59">
        <v>101.44</v>
      </c>
      <c r="L36" s="59">
        <v>102.303</v>
      </c>
      <c r="M36" s="59">
        <v>103.02</v>
      </c>
      <c r="O36" s="206"/>
    </row>
    <row r="37" spans="1:16" x14ac:dyDescent="0.25">
      <c r="A37" s="279">
        <v>2017</v>
      </c>
      <c r="B37" s="59">
        <v>93.603881999999999</v>
      </c>
      <c r="C37" s="59">
        <v>94.144779999999997</v>
      </c>
      <c r="D37" s="59">
        <v>94.722488999999996</v>
      </c>
      <c r="E37" s="59">
        <v>94.838932999999997</v>
      </c>
      <c r="F37" s="59">
        <v>94.725493999999998</v>
      </c>
      <c r="G37" s="59">
        <v>94.963639999999998</v>
      </c>
      <c r="H37" s="59">
        <v>95.322736000000006</v>
      </c>
      <c r="I37" s="59">
        <v>95.793768</v>
      </c>
      <c r="J37" s="59">
        <v>96.093514999999996</v>
      </c>
      <c r="K37" s="59">
        <v>96.698268999999996</v>
      </c>
      <c r="L37" s="59">
        <v>97.695173999999994</v>
      </c>
      <c r="M37" s="59">
        <v>98.272882999999993</v>
      </c>
      <c r="O37" s="206"/>
    </row>
    <row r="38" spans="1:16" x14ac:dyDescent="0.25">
      <c r="A38" s="279">
        <v>2016</v>
      </c>
      <c r="B38" s="59">
        <v>89.386381</v>
      </c>
      <c r="C38" s="59">
        <v>89.777781000000004</v>
      </c>
      <c r="D38" s="59">
        <v>89.910000999999994</v>
      </c>
      <c r="E38" s="59">
        <v>89.625277999999994</v>
      </c>
      <c r="F38" s="59">
        <v>89.225615000000005</v>
      </c>
      <c r="G38" s="59">
        <v>89.324027999999998</v>
      </c>
      <c r="H38" s="59">
        <v>89.556914000000006</v>
      </c>
      <c r="I38" s="59">
        <v>89.809332999999995</v>
      </c>
      <c r="J38" s="59">
        <v>90.357743999999997</v>
      </c>
      <c r="K38" s="59">
        <v>90.906154000000001</v>
      </c>
      <c r="L38" s="59">
        <v>91.616833999999997</v>
      </c>
      <c r="M38" s="59">
        <v>92.039034999999998</v>
      </c>
      <c r="O38" s="206"/>
    </row>
    <row r="39" spans="1:16" x14ac:dyDescent="0.25">
      <c r="A39" s="279">
        <v>2015</v>
      </c>
      <c r="B39" s="59">
        <v>87.110102999999995</v>
      </c>
      <c r="C39" s="59">
        <v>87.275377000000006</v>
      </c>
      <c r="D39" s="59">
        <v>87.630717000000004</v>
      </c>
      <c r="E39" s="59">
        <v>87.403840000000002</v>
      </c>
      <c r="F39" s="59">
        <v>86.967365999999998</v>
      </c>
      <c r="G39" s="59">
        <v>87.113107999999997</v>
      </c>
      <c r="H39" s="59">
        <v>87.240819999999999</v>
      </c>
      <c r="I39" s="59">
        <v>87.424875</v>
      </c>
      <c r="J39" s="59">
        <v>87.752419000000003</v>
      </c>
      <c r="K39" s="59">
        <v>88.203918999999999</v>
      </c>
      <c r="L39" s="59">
        <v>88.685468</v>
      </c>
      <c r="M39" s="59">
        <v>89.046818000000002</v>
      </c>
    </row>
    <row r="40" spans="1:16" x14ac:dyDescent="0.25">
      <c r="A40" s="279">
        <v>2014</v>
      </c>
      <c r="B40" s="59">
        <v>84.519052000000002</v>
      </c>
      <c r="C40" s="59">
        <v>84.733157000000006</v>
      </c>
      <c r="D40" s="59">
        <v>84.965292000000005</v>
      </c>
      <c r="E40" s="59">
        <v>84.806779000000006</v>
      </c>
      <c r="F40" s="59">
        <v>84.535578999999998</v>
      </c>
      <c r="G40" s="59">
        <v>84.682072000000005</v>
      </c>
      <c r="H40" s="59">
        <v>84.914958999999996</v>
      </c>
      <c r="I40" s="59">
        <v>85.219965000000002</v>
      </c>
      <c r="J40" s="59">
        <v>85.596339999999998</v>
      </c>
      <c r="K40" s="59">
        <v>86.069626</v>
      </c>
      <c r="L40" s="59">
        <v>86.763778000000002</v>
      </c>
      <c r="M40" s="59">
        <v>87.188984000000005</v>
      </c>
    </row>
    <row r="41" spans="1:16" x14ac:dyDescent="0.25">
      <c r="A41" s="279">
        <v>2013</v>
      </c>
      <c r="B41" s="59">
        <v>80.892781999999997</v>
      </c>
      <c r="C41" s="59">
        <v>81.290942999999999</v>
      </c>
      <c r="D41" s="59">
        <v>81.887433000000001</v>
      </c>
      <c r="E41" s="59">
        <v>81.941523000000004</v>
      </c>
      <c r="F41" s="59">
        <v>81.668819999999997</v>
      </c>
      <c r="G41" s="59">
        <v>81.619237999999996</v>
      </c>
      <c r="H41" s="59">
        <v>81.592192999999995</v>
      </c>
      <c r="I41" s="59">
        <v>81.824327999999994</v>
      </c>
      <c r="J41" s="59">
        <v>82.132339999999999</v>
      </c>
      <c r="K41" s="59">
        <v>82.522987999999998</v>
      </c>
      <c r="L41" s="59">
        <v>83.292265</v>
      </c>
      <c r="M41" s="59">
        <v>83.770058000000006</v>
      </c>
    </row>
    <row r="42" spans="1:16" x14ac:dyDescent="0.25">
      <c r="P42" s="209"/>
    </row>
  </sheetData>
  <mergeCells count="1">
    <mergeCell ref="A1:J1"/>
  </mergeCells>
  <pageMargins left="0.23622047244094491" right="0.23622047244094491" top="0.74803149606299213" bottom="0.74803149606299213" header="0.31496062992125984" footer="0.31496062992125984"/>
  <pageSetup scale="75" orientation="landscape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H27"/>
  <sheetViews>
    <sheetView topLeftCell="A4" workbookViewId="0">
      <selection activeCell="B20" sqref="B20"/>
    </sheetView>
  </sheetViews>
  <sheetFormatPr baseColWidth="10" defaultRowHeight="15" x14ac:dyDescent="0.25"/>
  <cols>
    <col min="1" max="1" width="26.85546875" customWidth="1"/>
    <col min="2" max="2" width="19.42578125" customWidth="1"/>
    <col min="3" max="3" width="34.28515625" customWidth="1"/>
    <col min="4" max="4" width="16.7109375" customWidth="1"/>
  </cols>
  <sheetData>
    <row r="1" spans="1:8" ht="15.75" thickBot="1" x14ac:dyDescent="0.3">
      <c r="A1" s="362" t="s">
        <v>38</v>
      </c>
      <c r="B1" s="363"/>
      <c r="C1" s="363"/>
      <c r="D1" s="364"/>
      <c r="E1" s="28"/>
      <c r="F1" s="27"/>
      <c r="G1" s="27"/>
      <c r="H1" s="27"/>
    </row>
    <row r="2" spans="1:8" x14ac:dyDescent="0.25">
      <c r="A2" s="6"/>
      <c r="B2" s="5"/>
      <c r="C2" s="5"/>
      <c r="D2" s="5"/>
      <c r="E2" s="10"/>
    </row>
    <row r="3" spans="1:8" x14ac:dyDescent="0.25">
      <c r="A3" s="13" t="s">
        <v>31</v>
      </c>
      <c r="B3" s="5"/>
      <c r="C3" s="9" t="s">
        <v>36</v>
      </c>
      <c r="D3" s="5"/>
      <c r="E3" s="10"/>
    </row>
    <row r="4" spans="1:8" x14ac:dyDescent="0.25">
      <c r="A4" s="13"/>
      <c r="B4" s="5"/>
      <c r="C4" s="9"/>
      <c r="D4" s="5"/>
      <c r="E4" s="10"/>
    </row>
    <row r="5" spans="1:8" ht="15.75" thickBot="1" x14ac:dyDescent="0.3">
      <c r="A5" s="13" t="s">
        <v>19</v>
      </c>
      <c r="B5" s="14">
        <f>+'9-CALCULO ISR ANUAL'!C3</f>
        <v>34579890.721589997</v>
      </c>
      <c r="C5" s="9" t="s">
        <v>36</v>
      </c>
      <c r="D5" s="7"/>
      <c r="E5" s="10"/>
    </row>
    <row r="6" spans="1:8" ht="15.75" thickBot="1" x14ac:dyDescent="0.3">
      <c r="A6" s="13" t="s">
        <v>32</v>
      </c>
      <c r="B6" s="7">
        <f>+B5</f>
        <v>34579890.721589997</v>
      </c>
      <c r="C6" s="9"/>
      <c r="D6" s="14">
        <f>+'9-CALCULO ISR ANUAL'!C4</f>
        <v>33766986.983134858</v>
      </c>
      <c r="E6" s="10"/>
    </row>
    <row r="7" spans="1:8" x14ac:dyDescent="0.25">
      <c r="A7" s="13" t="s">
        <v>33</v>
      </c>
      <c r="B7" s="8">
        <v>0</v>
      </c>
      <c r="C7" s="9" t="s">
        <v>32</v>
      </c>
      <c r="D7" s="7">
        <f>D6</f>
        <v>33766986.983134858</v>
      </c>
      <c r="E7" s="10"/>
    </row>
    <row r="8" spans="1:8" ht="15.75" thickBot="1" x14ac:dyDescent="0.3">
      <c r="A8" s="13" t="s">
        <v>34</v>
      </c>
      <c r="B8" s="25">
        <v>0</v>
      </c>
      <c r="C8" s="9"/>
      <c r="D8" s="14"/>
      <c r="E8" s="10"/>
    </row>
    <row r="9" spans="1:8" x14ac:dyDescent="0.25">
      <c r="A9" s="13"/>
      <c r="B9" s="5"/>
      <c r="C9" s="9"/>
      <c r="D9" s="7"/>
      <c r="E9" s="10"/>
    </row>
    <row r="10" spans="1:8" ht="15.75" thickBot="1" x14ac:dyDescent="0.3">
      <c r="A10" s="13" t="s">
        <v>35</v>
      </c>
      <c r="B10" s="26">
        <f>+B6-B7-B8</f>
        <v>34579890.721589997</v>
      </c>
      <c r="C10" s="9" t="s">
        <v>37</v>
      </c>
      <c r="D10" s="26">
        <f>+D7-D8</f>
        <v>33766986.983134858</v>
      </c>
      <c r="E10" s="10"/>
    </row>
    <row r="11" spans="1:8" ht="16.5" thickTop="1" thickBot="1" x14ac:dyDescent="0.3">
      <c r="A11" s="11"/>
      <c r="B11" s="4"/>
      <c r="C11" s="4"/>
      <c r="D11" s="4"/>
      <c r="E11" s="12"/>
    </row>
    <row r="12" spans="1:8" ht="15.75" thickBot="1" x14ac:dyDescent="0.3"/>
    <row r="13" spans="1:8" x14ac:dyDescent="0.25">
      <c r="A13" s="29"/>
      <c r="B13" s="30"/>
      <c r="C13" s="30"/>
      <c r="D13" s="30"/>
      <c r="E13" s="31"/>
    </row>
    <row r="14" spans="1:8" ht="15.75" thickBot="1" x14ac:dyDescent="0.3">
      <c r="A14" s="6"/>
      <c r="B14" s="5"/>
      <c r="C14" s="5"/>
      <c r="D14" s="5"/>
      <c r="E14" s="10"/>
    </row>
    <row r="15" spans="1:8" ht="15.75" thickBot="1" x14ac:dyDescent="0.3">
      <c r="A15" s="362" t="s">
        <v>39</v>
      </c>
      <c r="B15" s="363"/>
      <c r="C15" s="363"/>
      <c r="D15" s="363"/>
      <c r="E15" s="364"/>
    </row>
    <row r="16" spans="1:8" x14ac:dyDescent="0.25">
      <c r="A16" s="6"/>
      <c r="B16" s="5"/>
      <c r="C16" s="5"/>
      <c r="D16" s="5"/>
      <c r="E16" s="10"/>
    </row>
    <row r="17" spans="1:5" x14ac:dyDescent="0.25">
      <c r="A17" s="6" t="s">
        <v>31</v>
      </c>
      <c r="B17" s="7">
        <f>+B10</f>
        <v>34579890.721589997</v>
      </c>
      <c r="C17" s="5"/>
      <c r="D17" s="5"/>
      <c r="E17" s="10"/>
    </row>
    <row r="18" spans="1:5" ht="15.75" thickBot="1" x14ac:dyDescent="0.3">
      <c r="A18" s="6" t="s">
        <v>40</v>
      </c>
      <c r="B18" s="14">
        <f>+D10</f>
        <v>33766986.983134858</v>
      </c>
      <c r="C18" s="5"/>
      <c r="D18" s="5"/>
      <c r="E18" s="10"/>
    </row>
    <row r="19" spans="1:5" s="206" customFormat="1" x14ac:dyDescent="0.25">
      <c r="A19" s="202" t="s">
        <v>328</v>
      </c>
      <c r="B19" s="7">
        <f>'5-DEDUCCIONES CONTABLES-FISCAL'!F8+'5-DEDUCCIONES CONTABLES-FISCAL'!F11</f>
        <v>22040.52</v>
      </c>
      <c r="C19" s="5"/>
      <c r="D19" s="5"/>
      <c r="E19" s="10"/>
    </row>
    <row r="20" spans="1:5" x14ac:dyDescent="0.25">
      <c r="A20" s="6" t="s">
        <v>41</v>
      </c>
      <c r="B20" s="225">
        <f>B17-B18-B19</f>
        <v>790863.21845513908</v>
      </c>
      <c r="C20" s="5"/>
      <c r="D20" s="5"/>
      <c r="E20" s="10"/>
    </row>
    <row r="21" spans="1:5" ht="15.75" thickBot="1" x14ac:dyDescent="0.3">
      <c r="A21" s="32" t="s">
        <v>42</v>
      </c>
      <c r="B21" s="24">
        <v>0.1</v>
      </c>
      <c r="C21" s="5"/>
      <c r="D21" s="5"/>
      <c r="E21" s="10"/>
    </row>
    <row r="22" spans="1:5" x14ac:dyDescent="0.25">
      <c r="A22" s="6" t="s">
        <v>43</v>
      </c>
      <c r="B22" s="21">
        <f>+B20*B21</f>
        <v>79086.321845513914</v>
      </c>
      <c r="C22" s="5"/>
      <c r="D22" s="5"/>
      <c r="E22" s="10"/>
    </row>
    <row r="23" spans="1:5" x14ac:dyDescent="0.25">
      <c r="A23" s="6"/>
      <c r="B23" s="5"/>
      <c r="C23" s="5"/>
      <c r="D23" s="5"/>
      <c r="E23" s="10"/>
    </row>
    <row r="24" spans="1:5" x14ac:dyDescent="0.25">
      <c r="A24" s="6"/>
      <c r="B24" s="5"/>
      <c r="C24" s="5"/>
      <c r="D24" s="5"/>
      <c r="E24" s="10"/>
    </row>
    <row r="25" spans="1:5" x14ac:dyDescent="0.25">
      <c r="A25" s="13" t="s">
        <v>29</v>
      </c>
      <c r="B25" s="5"/>
      <c r="C25" s="5"/>
      <c r="D25" s="5"/>
      <c r="E25" s="10"/>
    </row>
    <row r="26" spans="1:5" x14ac:dyDescent="0.25">
      <c r="A26" s="13" t="s">
        <v>30</v>
      </c>
      <c r="B26" s="5"/>
      <c r="C26" s="5"/>
      <c r="D26" s="5"/>
      <c r="E26" s="10"/>
    </row>
    <row r="27" spans="1:5" ht="15.75" thickBot="1" x14ac:dyDescent="0.3">
      <c r="A27" s="11"/>
      <c r="B27" s="4"/>
      <c r="C27" s="4"/>
      <c r="D27" s="4"/>
      <c r="E27" s="12"/>
    </row>
  </sheetData>
  <mergeCells count="2">
    <mergeCell ref="A1:D1"/>
    <mergeCell ref="A15:E15"/>
  </mergeCells>
  <pageMargins left="0.25" right="0.25" top="0.75" bottom="0.75" header="0.3" footer="0.3"/>
  <pageSetup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B2:L30"/>
  <sheetViews>
    <sheetView topLeftCell="A4" workbookViewId="0">
      <selection activeCell="B6" sqref="B6"/>
    </sheetView>
  </sheetViews>
  <sheetFormatPr baseColWidth="10" defaultRowHeight="15" x14ac:dyDescent="0.25"/>
  <cols>
    <col min="4" max="4" width="18.140625" customWidth="1"/>
    <col min="6" max="6" width="14" bestFit="1" customWidth="1"/>
    <col min="7" max="7" width="38" customWidth="1"/>
    <col min="9" max="9" width="12.5703125" bestFit="1" customWidth="1"/>
    <col min="11" max="11" width="14.140625" bestFit="1" customWidth="1"/>
  </cols>
  <sheetData>
    <row r="2" spans="2:8" ht="15.75" thickBot="1" x14ac:dyDescent="0.3"/>
    <row r="3" spans="2:8" ht="15.75" thickBot="1" x14ac:dyDescent="0.3">
      <c r="B3" s="85"/>
      <c r="C3" s="86"/>
      <c r="D3" s="89" t="s">
        <v>64</v>
      </c>
      <c r="E3" s="86"/>
      <c r="F3" s="87"/>
      <c r="G3" s="88"/>
    </row>
    <row r="4" spans="2:8" x14ac:dyDescent="0.25">
      <c r="B4" s="64" t="s">
        <v>60</v>
      </c>
      <c r="C4" s="65"/>
      <c r="D4" s="65"/>
      <c r="E4" s="65"/>
      <c r="F4" s="66"/>
      <c r="G4" s="67"/>
    </row>
    <row r="5" spans="2:8" x14ac:dyDescent="0.25">
      <c r="B5" s="81" t="s">
        <v>379</v>
      </c>
      <c r="C5" s="65"/>
      <c r="D5" s="65"/>
      <c r="E5" s="65"/>
      <c r="F5" s="66"/>
      <c r="G5" s="67"/>
    </row>
    <row r="6" spans="2:8" ht="15.75" thickBot="1" x14ac:dyDescent="0.3">
      <c r="B6" s="68"/>
      <c r="C6" s="69"/>
      <c r="D6" s="69"/>
      <c r="E6" s="69"/>
      <c r="F6" s="70"/>
      <c r="G6" s="71"/>
    </row>
    <row r="7" spans="2:8" x14ac:dyDescent="0.25">
      <c r="B7" s="72"/>
      <c r="C7" s="73"/>
      <c r="D7" s="73"/>
      <c r="E7" s="73"/>
      <c r="F7" s="74"/>
      <c r="G7" s="75"/>
    </row>
    <row r="8" spans="2:8" x14ac:dyDescent="0.25">
      <c r="B8" s="64"/>
      <c r="C8" s="65"/>
      <c r="D8" s="192" t="s">
        <v>249</v>
      </c>
      <c r="E8" s="192"/>
      <c r="F8" s="66"/>
      <c r="G8" s="67"/>
    </row>
    <row r="9" spans="2:8" x14ac:dyDescent="0.25">
      <c r="B9" s="64"/>
      <c r="C9" s="192" t="s">
        <v>61</v>
      </c>
      <c r="D9" s="193" t="s">
        <v>62</v>
      </c>
      <c r="E9" s="192"/>
      <c r="F9" s="66"/>
      <c r="G9" s="67"/>
    </row>
    <row r="10" spans="2:8" x14ac:dyDescent="0.25">
      <c r="B10" s="64"/>
      <c r="C10" s="65"/>
      <c r="D10" s="192" t="s">
        <v>63</v>
      </c>
      <c r="E10" s="192"/>
      <c r="F10" s="66"/>
      <c r="G10" s="67"/>
    </row>
    <row r="11" spans="2:8" x14ac:dyDescent="0.25">
      <c r="B11" s="64"/>
      <c r="C11" s="65"/>
      <c r="D11" s="65"/>
      <c r="E11" s="65"/>
      <c r="F11" s="66"/>
      <c r="G11" s="67"/>
    </row>
    <row r="12" spans="2:8" x14ac:dyDescent="0.25">
      <c r="B12" s="64"/>
      <c r="C12" s="65"/>
      <c r="D12" s="65"/>
      <c r="E12" s="65"/>
      <c r="F12" s="66"/>
      <c r="G12" s="67"/>
    </row>
    <row r="13" spans="2:8" x14ac:dyDescent="0.25">
      <c r="B13" s="64"/>
      <c r="C13" s="82" t="s">
        <v>63</v>
      </c>
      <c r="D13" s="65"/>
      <c r="E13" s="65"/>
      <c r="F13" s="76"/>
      <c r="G13" s="77">
        <f>+'10- CALCULO PTU'!B17</f>
        <v>34579890.721589997</v>
      </c>
    </row>
    <row r="14" spans="2:8" x14ac:dyDescent="0.25">
      <c r="B14" s="64"/>
      <c r="C14" s="83" t="s">
        <v>19</v>
      </c>
      <c r="D14" s="65"/>
      <c r="E14" s="65"/>
      <c r="F14" s="76">
        <f>+G13</f>
        <v>34579890.721589997</v>
      </c>
      <c r="G14" s="78"/>
    </row>
    <row r="15" spans="2:8" x14ac:dyDescent="0.25">
      <c r="B15" s="64"/>
      <c r="C15" s="83"/>
      <c r="D15" s="65"/>
      <c r="E15" s="65"/>
      <c r="F15" s="66"/>
      <c r="G15" s="67"/>
    </row>
    <row r="16" spans="2:8" x14ac:dyDescent="0.25">
      <c r="B16" s="64"/>
      <c r="C16" s="83"/>
      <c r="D16" s="65"/>
      <c r="E16" s="65"/>
      <c r="F16" s="66"/>
      <c r="G16" s="67"/>
      <c r="H16" s="209"/>
    </row>
    <row r="17" spans="2:12" x14ac:dyDescent="0.25">
      <c r="B17" s="64"/>
      <c r="C17" s="65"/>
      <c r="D17" s="79">
        <f>+'9-CALCULO ISR ANUAL'!C5</f>
        <v>812903.7384551391</v>
      </c>
      <c r="E17" s="65"/>
      <c r="F17" s="66"/>
      <c r="G17" s="67"/>
      <c r="H17" s="248"/>
    </row>
    <row r="18" spans="2:12" x14ac:dyDescent="0.25">
      <c r="B18" s="64"/>
      <c r="C18" s="65" t="s">
        <v>61</v>
      </c>
      <c r="D18" s="80">
        <f>+'4-INGRESOS CONTABLES-FISCAL'!D8</f>
        <v>34575433</v>
      </c>
      <c r="E18" s="65"/>
      <c r="F18" s="66"/>
      <c r="G18" s="67"/>
      <c r="H18" s="209"/>
      <c r="I18" s="206"/>
    </row>
    <row r="19" spans="2:12" x14ac:dyDescent="0.25">
      <c r="B19" s="64"/>
      <c r="C19" s="65"/>
      <c r="D19" s="65"/>
      <c r="E19" s="65"/>
      <c r="F19" s="66"/>
      <c r="G19" s="67"/>
      <c r="H19" s="209"/>
    </row>
    <row r="20" spans="2:12" ht="19.5" thickBot="1" x14ac:dyDescent="0.35">
      <c r="B20" s="64"/>
      <c r="C20" s="65"/>
      <c r="D20" s="65"/>
      <c r="E20" s="65"/>
      <c r="F20" s="247" t="s">
        <v>244</v>
      </c>
      <c r="G20" s="67"/>
      <c r="H20" s="249"/>
      <c r="I20" s="209"/>
    </row>
    <row r="21" spans="2:12" ht="15.75" x14ac:dyDescent="0.25">
      <c r="B21" s="64"/>
      <c r="C21" s="84" t="s">
        <v>61</v>
      </c>
      <c r="D21" s="287">
        <f>D17/D18</f>
        <v>2.3511021205580827E-2</v>
      </c>
      <c r="E21" s="191"/>
      <c r="F21" s="246">
        <v>8.6300000000000002E-2</v>
      </c>
      <c r="G21" s="67"/>
      <c r="H21" s="209"/>
      <c r="I21" s="209"/>
      <c r="J21" s="209"/>
      <c r="K21" s="209"/>
    </row>
    <row r="22" spans="2:12" x14ac:dyDescent="0.25">
      <c r="B22" s="64"/>
      <c r="C22" s="65"/>
      <c r="D22" s="65"/>
      <c r="E22" s="191"/>
      <c r="F22" s="245"/>
      <c r="G22" s="67"/>
      <c r="I22" s="209"/>
      <c r="J22" s="209"/>
      <c r="K22" s="209"/>
    </row>
    <row r="23" spans="2:12" x14ac:dyDescent="0.25">
      <c r="B23" s="64"/>
      <c r="C23" s="65"/>
      <c r="D23" s="65"/>
      <c r="E23" s="65"/>
      <c r="F23" s="66"/>
      <c r="G23" s="67"/>
      <c r="I23" s="209"/>
      <c r="K23" s="209"/>
      <c r="L23" s="250"/>
    </row>
    <row r="24" spans="2:12" ht="18.75" x14ac:dyDescent="0.3">
      <c r="B24" s="64"/>
      <c r="C24" s="189"/>
      <c r="D24" s="190"/>
      <c r="E24" s="65"/>
      <c r="F24" s="66"/>
      <c r="G24" s="67"/>
    </row>
    <row r="25" spans="2:12" ht="15.75" thickBot="1" x14ac:dyDescent="0.3">
      <c r="B25" s="68"/>
      <c r="C25" s="69"/>
      <c r="D25" s="69"/>
      <c r="E25" s="69"/>
      <c r="F25" s="70"/>
      <c r="G25" s="71"/>
    </row>
    <row r="28" spans="2:12" x14ac:dyDescent="0.25">
      <c r="D28" s="314"/>
    </row>
    <row r="29" spans="2:12" x14ac:dyDescent="0.25">
      <c r="D29" s="326"/>
    </row>
    <row r="30" spans="2:12" x14ac:dyDescent="0.25">
      <c r="D30" s="326"/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9"/>
  <sheetViews>
    <sheetView workbookViewId="0">
      <selection activeCell="D24" sqref="D24"/>
    </sheetView>
  </sheetViews>
  <sheetFormatPr baseColWidth="10" defaultRowHeight="15" x14ac:dyDescent="0.25"/>
  <cols>
    <col min="1" max="1" width="31.140625" customWidth="1"/>
    <col min="2" max="2" width="37" customWidth="1"/>
    <col min="3" max="3" width="30.5703125" customWidth="1"/>
    <col min="4" max="4" width="52.28515625" customWidth="1"/>
  </cols>
  <sheetData>
    <row r="1" spans="1:5" x14ac:dyDescent="0.25">
      <c r="A1" s="221" t="s">
        <v>144</v>
      </c>
      <c r="B1" s="221" t="s">
        <v>145</v>
      </c>
      <c r="C1" s="221" t="s">
        <v>146</v>
      </c>
      <c r="D1" s="221" t="s">
        <v>147</v>
      </c>
    </row>
    <row r="2" spans="1:5" x14ac:dyDescent="0.25">
      <c r="A2" s="199">
        <v>1</v>
      </c>
      <c r="B2" s="200" t="s">
        <v>148</v>
      </c>
      <c r="C2" s="199" t="s">
        <v>149</v>
      </c>
      <c r="D2" s="199" t="s">
        <v>150</v>
      </c>
      <c r="E2" s="198"/>
    </row>
    <row r="3" spans="1:5" x14ac:dyDescent="0.25">
      <c r="A3" s="199">
        <v>2</v>
      </c>
      <c r="B3" s="200" t="s">
        <v>151</v>
      </c>
      <c r="C3" s="199" t="s">
        <v>149</v>
      </c>
      <c r="D3" s="199" t="s">
        <v>152</v>
      </c>
      <c r="E3" s="198"/>
    </row>
    <row r="4" spans="1:5" x14ac:dyDescent="0.25">
      <c r="A4" s="199">
        <v>3</v>
      </c>
      <c r="B4" s="200" t="s">
        <v>153</v>
      </c>
      <c r="C4" s="199" t="s">
        <v>149</v>
      </c>
      <c r="D4" s="199" t="s">
        <v>154</v>
      </c>
      <c r="E4" s="198"/>
    </row>
    <row r="5" spans="1:5" x14ac:dyDescent="0.25">
      <c r="A5" s="199">
        <v>4</v>
      </c>
      <c r="B5" s="200" t="s">
        <v>155</v>
      </c>
      <c r="C5" s="199" t="s">
        <v>156</v>
      </c>
      <c r="D5" s="199" t="s">
        <v>157</v>
      </c>
      <c r="E5" s="198"/>
    </row>
    <row r="6" spans="1:5" x14ac:dyDescent="0.25">
      <c r="A6" s="199">
        <v>5</v>
      </c>
      <c r="B6" s="200" t="s">
        <v>158</v>
      </c>
      <c r="C6" s="199" t="s">
        <v>156</v>
      </c>
      <c r="D6" s="199" t="s">
        <v>157</v>
      </c>
      <c r="E6" s="198"/>
    </row>
    <row r="7" spans="1:5" x14ac:dyDescent="0.25">
      <c r="A7" s="199">
        <v>6</v>
      </c>
      <c r="B7" s="200" t="s">
        <v>159</v>
      </c>
      <c r="C7" s="199" t="s">
        <v>156</v>
      </c>
      <c r="D7" s="199" t="s">
        <v>157</v>
      </c>
      <c r="E7" s="198"/>
    </row>
    <row r="8" spans="1:5" x14ac:dyDescent="0.25">
      <c r="A8" s="199">
        <v>9</v>
      </c>
      <c r="B8" s="200" t="s">
        <v>160</v>
      </c>
      <c r="C8" s="199" t="s">
        <v>156</v>
      </c>
      <c r="D8" s="199" t="s">
        <v>157</v>
      </c>
      <c r="E8" s="198"/>
    </row>
    <row r="9" spans="1:5" x14ac:dyDescent="0.25">
      <c r="A9" s="199">
        <v>10</v>
      </c>
      <c r="B9" s="200" t="s">
        <v>161</v>
      </c>
      <c r="C9" s="199" t="s">
        <v>149</v>
      </c>
      <c r="D9" s="199" t="s">
        <v>162</v>
      </c>
      <c r="E9" s="198"/>
    </row>
    <row r="10" spans="1:5" x14ac:dyDescent="0.25">
      <c r="A10" s="199">
        <v>11</v>
      </c>
      <c r="B10" s="200" t="s">
        <v>163</v>
      </c>
      <c r="C10" s="199" t="s">
        <v>149</v>
      </c>
      <c r="D10" s="199" t="s">
        <v>162</v>
      </c>
      <c r="E10" s="198"/>
    </row>
    <row r="11" spans="1:5" x14ac:dyDescent="0.25">
      <c r="A11" s="199">
        <v>12</v>
      </c>
      <c r="B11" s="200" t="s">
        <v>164</v>
      </c>
      <c r="C11" s="199" t="s">
        <v>156</v>
      </c>
      <c r="D11" s="199" t="s">
        <v>157</v>
      </c>
      <c r="E11" s="198"/>
    </row>
    <row r="12" spans="1:5" x14ac:dyDescent="0.25">
      <c r="A12" s="199">
        <v>13</v>
      </c>
      <c r="B12" s="200" t="s">
        <v>165</v>
      </c>
      <c r="C12" s="199" t="s">
        <v>156</v>
      </c>
      <c r="D12" s="199" t="s">
        <v>157</v>
      </c>
      <c r="E12" s="198"/>
    </row>
    <row r="13" spans="1:5" x14ac:dyDescent="0.25">
      <c r="A13" s="199">
        <v>14</v>
      </c>
      <c r="B13" s="200" t="s">
        <v>166</v>
      </c>
      <c r="C13" s="199" t="s">
        <v>156</v>
      </c>
      <c r="D13" s="199" t="s">
        <v>157</v>
      </c>
      <c r="E13" s="198"/>
    </row>
    <row r="14" spans="1:5" x14ac:dyDescent="0.25">
      <c r="A14" s="199">
        <v>15</v>
      </c>
      <c r="B14" s="200" t="s">
        <v>167</v>
      </c>
      <c r="C14" s="199" t="s">
        <v>156</v>
      </c>
      <c r="D14" s="199" t="s">
        <v>157</v>
      </c>
      <c r="E14" s="198"/>
    </row>
    <row r="15" spans="1:5" x14ac:dyDescent="0.25">
      <c r="A15" s="199">
        <v>16</v>
      </c>
      <c r="B15" s="200" t="s">
        <v>168</v>
      </c>
      <c r="C15" s="199" t="s">
        <v>169</v>
      </c>
      <c r="D15" s="199" t="s">
        <v>169</v>
      </c>
      <c r="E15" s="198"/>
    </row>
    <row r="16" spans="1:5" x14ac:dyDescent="0.25">
      <c r="A16" s="199">
        <v>17</v>
      </c>
      <c r="B16" s="200" t="s">
        <v>170</v>
      </c>
      <c r="C16" s="199" t="s">
        <v>156</v>
      </c>
      <c r="D16" s="199" t="s">
        <v>150</v>
      </c>
      <c r="E16" s="198"/>
    </row>
    <row r="17" spans="1:5" x14ac:dyDescent="0.25">
      <c r="A17" s="199">
        <v>19</v>
      </c>
      <c r="B17" s="200" t="s">
        <v>171</v>
      </c>
      <c r="C17" s="199" t="s">
        <v>149</v>
      </c>
      <c r="D17" s="199" t="s">
        <v>172</v>
      </c>
      <c r="E17" s="198"/>
    </row>
    <row r="18" spans="1:5" x14ac:dyDescent="0.25">
      <c r="A18" s="199">
        <v>20</v>
      </c>
      <c r="B18" s="200" t="s">
        <v>173</v>
      </c>
      <c r="C18" s="199" t="s">
        <v>149</v>
      </c>
      <c r="D18" s="199" t="s">
        <v>174</v>
      </c>
      <c r="E18" s="198"/>
    </row>
    <row r="19" spans="1:5" x14ac:dyDescent="0.25">
      <c r="A19" s="199">
        <v>21</v>
      </c>
      <c r="B19" s="200" t="s">
        <v>175</v>
      </c>
      <c r="C19" s="199" t="s">
        <v>149</v>
      </c>
      <c r="D19" s="199" t="s">
        <v>176</v>
      </c>
      <c r="E19" s="198"/>
    </row>
    <row r="20" spans="1:5" x14ac:dyDescent="0.25">
      <c r="A20" s="199">
        <v>22</v>
      </c>
      <c r="B20" s="200" t="s">
        <v>177</v>
      </c>
      <c r="C20" s="199" t="s">
        <v>149</v>
      </c>
      <c r="D20" s="199" t="s">
        <v>178</v>
      </c>
      <c r="E20" s="198"/>
    </row>
    <row r="21" spans="1:5" x14ac:dyDescent="0.25">
      <c r="A21" s="199">
        <v>23</v>
      </c>
      <c r="B21" s="200" t="s">
        <v>179</v>
      </c>
      <c r="C21" s="199" t="s">
        <v>169</v>
      </c>
      <c r="D21" s="199" t="s">
        <v>169</v>
      </c>
      <c r="E21" s="198"/>
    </row>
    <row r="22" spans="1:5" x14ac:dyDescent="0.25">
      <c r="A22" s="199">
        <v>24</v>
      </c>
      <c r="B22" s="200" t="s">
        <v>180</v>
      </c>
      <c r="C22" s="199" t="s">
        <v>149</v>
      </c>
      <c r="D22" s="199" t="s">
        <v>178</v>
      </c>
      <c r="E22" s="198"/>
    </row>
    <row r="23" spans="1:5" x14ac:dyDescent="0.25">
      <c r="A23" s="199">
        <v>25</v>
      </c>
      <c r="B23" s="200" t="s">
        <v>181</v>
      </c>
      <c r="C23" s="199" t="s">
        <v>156</v>
      </c>
      <c r="D23" s="199" t="s">
        <v>157</v>
      </c>
      <c r="E23" s="198"/>
    </row>
    <row r="24" spans="1:5" x14ac:dyDescent="0.25">
      <c r="A24" s="199">
        <v>26</v>
      </c>
      <c r="B24" s="200" t="s">
        <v>182</v>
      </c>
      <c r="C24" s="199" t="s">
        <v>156</v>
      </c>
      <c r="D24" s="199" t="s">
        <v>157</v>
      </c>
      <c r="E24" s="198"/>
    </row>
    <row r="25" spans="1:5" x14ac:dyDescent="0.25">
      <c r="A25" s="199">
        <v>27</v>
      </c>
      <c r="B25" s="200" t="s">
        <v>183</v>
      </c>
      <c r="C25" s="199" t="s">
        <v>156</v>
      </c>
      <c r="D25" s="199" t="s">
        <v>157</v>
      </c>
      <c r="E25" s="198"/>
    </row>
    <row r="26" spans="1:5" x14ac:dyDescent="0.25">
      <c r="A26" s="199">
        <v>28</v>
      </c>
      <c r="B26" s="200" t="s">
        <v>184</v>
      </c>
      <c r="C26" s="199" t="s">
        <v>149</v>
      </c>
      <c r="D26" s="199" t="s">
        <v>162</v>
      </c>
      <c r="E26" s="198"/>
    </row>
    <row r="27" spans="1:5" x14ac:dyDescent="0.25">
      <c r="A27" s="199">
        <v>29</v>
      </c>
      <c r="B27" s="200" t="s">
        <v>185</v>
      </c>
      <c r="C27" s="199" t="s">
        <v>149</v>
      </c>
      <c r="D27" s="199" t="s">
        <v>186</v>
      </c>
      <c r="E27" s="198"/>
    </row>
    <row r="28" spans="1:5" x14ac:dyDescent="0.25">
      <c r="A28" s="199">
        <v>30</v>
      </c>
      <c r="B28" s="200" t="s">
        <v>187</v>
      </c>
      <c r="C28" s="199" t="s">
        <v>149</v>
      </c>
      <c r="D28" s="199" t="s">
        <v>162</v>
      </c>
      <c r="E28" s="198"/>
    </row>
    <row r="29" spans="1:5" x14ac:dyDescent="0.25">
      <c r="A29" s="199">
        <v>31</v>
      </c>
      <c r="B29" s="200" t="s">
        <v>188</v>
      </c>
      <c r="C29" s="199" t="s">
        <v>156</v>
      </c>
      <c r="D29" s="199" t="s">
        <v>189</v>
      </c>
      <c r="E29" s="198"/>
    </row>
    <row r="30" spans="1:5" x14ac:dyDescent="0.25">
      <c r="A30" s="199">
        <v>32</v>
      </c>
      <c r="B30" s="200" t="s">
        <v>190</v>
      </c>
      <c r="C30" s="199" t="s">
        <v>149</v>
      </c>
      <c r="D30" s="199" t="s">
        <v>162</v>
      </c>
      <c r="E30" s="198"/>
    </row>
    <row r="31" spans="1:5" x14ac:dyDescent="0.25">
      <c r="A31" s="199">
        <v>33</v>
      </c>
      <c r="B31" s="200" t="s">
        <v>191</v>
      </c>
      <c r="C31" s="199" t="s">
        <v>149</v>
      </c>
      <c r="D31" s="199" t="s">
        <v>162</v>
      </c>
      <c r="E31" s="198"/>
    </row>
    <row r="32" spans="1:5" x14ac:dyDescent="0.25">
      <c r="A32" s="199">
        <v>34</v>
      </c>
      <c r="B32" s="200" t="s">
        <v>192</v>
      </c>
      <c r="C32" s="199" t="s">
        <v>149</v>
      </c>
      <c r="D32" s="199" t="s">
        <v>162</v>
      </c>
      <c r="E32" s="198"/>
    </row>
    <row r="33" spans="1:7" x14ac:dyDescent="0.25">
      <c r="A33" s="199">
        <v>35</v>
      </c>
      <c r="B33" s="200" t="s">
        <v>193</v>
      </c>
      <c r="C33" s="199" t="s">
        <v>149</v>
      </c>
      <c r="D33" s="199" t="s">
        <v>162</v>
      </c>
      <c r="E33" s="198"/>
      <c r="F33" s="198"/>
      <c r="G33" s="198"/>
    </row>
    <row r="34" spans="1:7" x14ac:dyDescent="0.25">
      <c r="A34" s="199">
        <v>36</v>
      </c>
      <c r="B34" s="200" t="s">
        <v>194</v>
      </c>
      <c r="C34" s="199" t="s">
        <v>149</v>
      </c>
      <c r="D34" s="199" t="s">
        <v>195</v>
      </c>
      <c r="E34" s="198"/>
      <c r="F34" s="198"/>
      <c r="G34" s="198"/>
    </row>
    <row r="35" spans="1:7" x14ac:dyDescent="0.25">
      <c r="A35" s="199">
        <v>37</v>
      </c>
      <c r="B35" s="200" t="s">
        <v>196</v>
      </c>
      <c r="C35" s="199" t="s">
        <v>156</v>
      </c>
      <c r="D35" s="199" t="s">
        <v>157</v>
      </c>
      <c r="E35" s="198"/>
      <c r="F35" s="198"/>
      <c r="G35" s="198"/>
    </row>
    <row r="36" spans="1:7" x14ac:dyDescent="0.25">
      <c r="A36" s="199">
        <v>38</v>
      </c>
      <c r="B36" s="200" t="s">
        <v>197</v>
      </c>
      <c r="C36" s="199" t="s">
        <v>169</v>
      </c>
      <c r="D36" s="199" t="s">
        <v>169</v>
      </c>
      <c r="E36" s="198"/>
      <c r="F36" s="198"/>
      <c r="G36" s="198"/>
    </row>
    <row r="37" spans="1:7" x14ac:dyDescent="0.25">
      <c r="A37" s="199">
        <v>39</v>
      </c>
      <c r="B37" s="200" t="s">
        <v>198</v>
      </c>
      <c r="C37" s="199" t="s">
        <v>149</v>
      </c>
      <c r="D37" s="199" t="s">
        <v>199</v>
      </c>
      <c r="E37" s="198"/>
      <c r="F37" s="198"/>
      <c r="G37" s="198"/>
    </row>
    <row r="38" spans="1:7" x14ac:dyDescent="0.25">
      <c r="A38" s="198"/>
      <c r="B38" s="198"/>
      <c r="C38" s="198"/>
      <c r="D38" s="198"/>
      <c r="E38" s="198"/>
      <c r="F38" s="198"/>
      <c r="G38" s="198"/>
    </row>
    <row r="39" spans="1:7" x14ac:dyDescent="0.25">
      <c r="A39" s="198"/>
      <c r="B39" s="198"/>
      <c r="C39" s="198"/>
      <c r="D39" s="198"/>
      <c r="E39" s="198"/>
      <c r="F39" s="198"/>
      <c r="G39" s="198"/>
    </row>
  </sheetData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5A51-3A15-4676-8C95-BF956D4FD1BB}">
  <dimension ref="A1:B44"/>
  <sheetViews>
    <sheetView workbookViewId="0">
      <selection activeCell="E21" sqref="E21"/>
    </sheetView>
  </sheetViews>
  <sheetFormatPr baseColWidth="10" defaultRowHeight="15" x14ac:dyDescent="0.25"/>
  <cols>
    <col min="1" max="1" width="95" bestFit="1" customWidth="1"/>
    <col min="2" max="2" width="14.140625" bestFit="1" customWidth="1"/>
  </cols>
  <sheetData>
    <row r="1" spans="1:2" ht="15.75" x14ac:dyDescent="0.25">
      <c r="A1" s="382" t="s">
        <v>395</v>
      </c>
      <c r="B1" s="382"/>
    </row>
    <row r="2" spans="1:2" ht="15.75" x14ac:dyDescent="0.25">
      <c r="A2" s="337"/>
      <c r="B2" s="337"/>
    </row>
    <row r="3" spans="1:2" x14ac:dyDescent="0.25">
      <c r="A3" s="383" t="s">
        <v>329</v>
      </c>
      <c r="B3" s="383"/>
    </row>
    <row r="4" spans="1:2" x14ac:dyDescent="0.25">
      <c r="A4" s="384" t="s">
        <v>330</v>
      </c>
      <c r="B4" s="384"/>
    </row>
    <row r="5" spans="1:2" x14ac:dyDescent="0.25">
      <c r="A5" s="206"/>
      <c r="B5" s="206"/>
    </row>
    <row r="6" spans="1:2" x14ac:dyDescent="0.25">
      <c r="A6" s="338" t="s">
        <v>331</v>
      </c>
      <c r="B6" s="339">
        <v>43739</v>
      </c>
    </row>
    <row r="7" spans="1:2" x14ac:dyDescent="0.25">
      <c r="A7" s="206"/>
      <c r="B7" s="206"/>
    </row>
    <row r="8" spans="1:2" x14ac:dyDescent="0.25">
      <c r="A8" s="338" t="s">
        <v>332</v>
      </c>
      <c r="B8" s="340">
        <v>200000</v>
      </c>
    </row>
    <row r="9" spans="1:2" x14ac:dyDescent="0.25">
      <c r="A9" s="338"/>
      <c r="B9" s="340"/>
    </row>
    <row r="10" spans="1:2" x14ac:dyDescent="0.25">
      <c r="A10" s="338" t="s">
        <v>333</v>
      </c>
      <c r="B10" s="340">
        <f>+B8</f>
        <v>200000</v>
      </c>
    </row>
    <row r="11" spans="1:2" x14ac:dyDescent="0.25">
      <c r="A11" s="206"/>
      <c r="B11" s="206"/>
    </row>
    <row r="12" spans="1:2" x14ac:dyDescent="0.25">
      <c r="A12" s="338" t="s">
        <v>334</v>
      </c>
      <c r="B12" s="341">
        <v>105.934</v>
      </c>
    </row>
    <row r="13" spans="1:2" x14ac:dyDescent="0.25">
      <c r="A13" s="206"/>
      <c r="B13" s="206"/>
    </row>
    <row r="14" spans="1:2" x14ac:dyDescent="0.25">
      <c r="A14" s="206" t="s">
        <v>335</v>
      </c>
      <c r="B14" s="341">
        <v>104.503</v>
      </c>
    </row>
    <row r="15" spans="1:2" x14ac:dyDescent="0.25">
      <c r="A15" s="206"/>
      <c r="B15" s="206"/>
    </row>
    <row r="16" spans="1:2" x14ac:dyDescent="0.25">
      <c r="A16" s="338" t="s">
        <v>336</v>
      </c>
      <c r="B16" s="206">
        <f>TRUNC(+B12/B14,4)</f>
        <v>1.0136000000000001</v>
      </c>
    </row>
    <row r="17" spans="1:2" x14ac:dyDescent="0.25">
      <c r="A17" s="206"/>
      <c r="B17" s="206"/>
    </row>
    <row r="18" spans="1:2" x14ac:dyDescent="0.25">
      <c r="A18" s="206"/>
      <c r="B18" s="206"/>
    </row>
    <row r="19" spans="1:2" ht="16.5" thickBot="1" x14ac:dyDescent="0.3">
      <c r="A19" s="342" t="s">
        <v>337</v>
      </c>
      <c r="B19" s="343">
        <f>+B10*B16</f>
        <v>202720</v>
      </c>
    </row>
    <row r="20" spans="1:2" ht="15.75" thickTop="1" x14ac:dyDescent="0.25">
      <c r="A20" s="206"/>
      <c r="B20" s="206"/>
    </row>
    <row r="21" spans="1:2" x14ac:dyDescent="0.25">
      <c r="A21" s="206"/>
      <c r="B21" s="206"/>
    </row>
    <row r="22" spans="1:2" x14ac:dyDescent="0.25">
      <c r="A22" s="338" t="s">
        <v>338</v>
      </c>
      <c r="B22" s="341">
        <v>109.271</v>
      </c>
    </row>
    <row r="23" spans="1:2" x14ac:dyDescent="0.25">
      <c r="A23" s="206"/>
      <c r="B23" s="206"/>
    </row>
    <row r="24" spans="1:2" x14ac:dyDescent="0.25">
      <c r="A24" s="338" t="s">
        <v>334</v>
      </c>
      <c r="B24" s="206">
        <f>+B12</f>
        <v>105.934</v>
      </c>
    </row>
    <row r="25" spans="1:2" x14ac:dyDescent="0.25">
      <c r="A25" s="206"/>
      <c r="B25" s="206"/>
    </row>
    <row r="26" spans="1:2" x14ac:dyDescent="0.25">
      <c r="A26" s="338" t="s">
        <v>336</v>
      </c>
      <c r="B26" s="206">
        <f>TRUNC(+B22/B24,4)</f>
        <v>1.0315000000000001</v>
      </c>
    </row>
    <row r="27" spans="1:2" x14ac:dyDescent="0.25">
      <c r="A27" s="206"/>
      <c r="B27" s="206"/>
    </row>
    <row r="28" spans="1:2" x14ac:dyDescent="0.25">
      <c r="A28" s="206"/>
      <c r="B28" s="206"/>
    </row>
    <row r="29" spans="1:2" ht="16.5" thickBot="1" x14ac:dyDescent="0.3">
      <c r="A29" s="342" t="s">
        <v>339</v>
      </c>
      <c r="B29" s="343">
        <f>+B19*B26</f>
        <v>209105.68000000002</v>
      </c>
    </row>
    <row r="30" spans="1:2" ht="15.75" thickTop="1" x14ac:dyDescent="0.25"/>
    <row r="32" spans="1:2" x14ac:dyDescent="0.25">
      <c r="A32" s="338" t="s">
        <v>340</v>
      </c>
      <c r="B32" s="341">
        <v>117.30800000000001</v>
      </c>
    </row>
    <row r="33" spans="1:2" x14ac:dyDescent="0.25">
      <c r="A33" s="206"/>
      <c r="B33" s="206"/>
    </row>
    <row r="34" spans="1:2" x14ac:dyDescent="0.25">
      <c r="A34" s="338" t="s">
        <v>338</v>
      </c>
      <c r="B34" s="341">
        <v>109.271</v>
      </c>
    </row>
    <row r="35" spans="1:2" x14ac:dyDescent="0.25">
      <c r="A35" s="206"/>
      <c r="B35" s="206"/>
    </row>
    <row r="36" spans="1:2" x14ac:dyDescent="0.25">
      <c r="A36" s="338" t="s">
        <v>336</v>
      </c>
      <c r="B36" s="206">
        <f>TRUNC(+B32/B34,4)</f>
        <v>1.0734999999999999</v>
      </c>
    </row>
    <row r="37" spans="1:2" x14ac:dyDescent="0.25">
      <c r="A37" s="206"/>
      <c r="B37" s="206"/>
    </row>
    <row r="38" spans="1:2" x14ac:dyDescent="0.25">
      <c r="A38" s="206"/>
      <c r="B38" s="206"/>
    </row>
    <row r="39" spans="1:2" ht="16.5" thickBot="1" x14ac:dyDescent="0.3">
      <c r="A39" s="342" t="s">
        <v>341</v>
      </c>
      <c r="B39" s="343">
        <f>+B29*B36</f>
        <v>224474.94748</v>
      </c>
    </row>
    <row r="40" spans="1:2" ht="15.75" thickTop="1" x14ac:dyDescent="0.25"/>
    <row r="42" spans="1:2" x14ac:dyDescent="0.25">
      <c r="A42" t="s">
        <v>375</v>
      </c>
      <c r="B42" s="326">
        <v>205240</v>
      </c>
    </row>
    <row r="44" spans="1:2" x14ac:dyDescent="0.25">
      <c r="A44" t="s">
        <v>376</v>
      </c>
      <c r="B44" s="326">
        <f>B39-B42</f>
        <v>19234.947480000003</v>
      </c>
    </row>
  </sheetData>
  <mergeCells count="3">
    <mergeCell ref="A1:B1"/>
    <mergeCell ref="A3:B3"/>
    <mergeCell ref="A4:B4"/>
  </mergeCells>
  <pageMargins left="0.7" right="0.7" top="0.75" bottom="0.75" header="0.3" footer="0.3"/>
  <pageSetup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B9AA4-80C8-4788-8795-8ECD24395CA3}">
  <dimension ref="A1:D47"/>
  <sheetViews>
    <sheetView workbookViewId="0">
      <selection activeCell="A2" sqref="A2"/>
    </sheetView>
  </sheetViews>
  <sheetFormatPr baseColWidth="10" defaultRowHeight="15" x14ac:dyDescent="0.25"/>
  <cols>
    <col min="1" max="1" width="3.42578125" style="206" bestFit="1" customWidth="1"/>
    <col min="2" max="2" width="55.42578125" style="206" bestFit="1" customWidth="1"/>
    <col min="3" max="3" width="16" style="206" bestFit="1" customWidth="1"/>
    <col min="4" max="4" width="32.28515625" style="206" customWidth="1"/>
  </cols>
  <sheetData>
    <row r="1" spans="1:4" x14ac:dyDescent="0.25">
      <c r="A1" s="384" t="s">
        <v>395</v>
      </c>
      <c r="B1" s="384"/>
      <c r="C1" s="384"/>
    </row>
    <row r="3" spans="1:4" ht="15.75" x14ac:dyDescent="0.25">
      <c r="A3" s="344"/>
      <c r="B3" s="385" t="s">
        <v>342</v>
      </c>
      <c r="C3" s="385"/>
    </row>
    <row r="5" spans="1:4" x14ac:dyDescent="0.25">
      <c r="B5" s="345" t="s">
        <v>359</v>
      </c>
      <c r="C5" s="346">
        <f>'9-CALCULO ISR ANUAL'!C9</f>
        <v>747396.7384551391</v>
      </c>
      <c r="D5" s="347"/>
    </row>
    <row r="6" spans="1:4" x14ac:dyDescent="0.25">
      <c r="C6" s="347"/>
    </row>
    <row r="7" spans="1:4" x14ac:dyDescent="0.25">
      <c r="A7" s="206" t="s">
        <v>343</v>
      </c>
      <c r="B7" s="206" t="s">
        <v>344</v>
      </c>
      <c r="C7" s="347">
        <f>'9-CALCULO ISR ANUAL'!C11</f>
        <v>224219.02153654172</v>
      </c>
    </row>
    <row r="8" spans="1:4" x14ac:dyDescent="0.25">
      <c r="C8" s="347"/>
    </row>
    <row r="9" spans="1:4" ht="63.75" x14ac:dyDescent="0.25">
      <c r="A9" s="348" t="s">
        <v>343</v>
      </c>
      <c r="B9" s="348" t="s">
        <v>345</v>
      </c>
      <c r="C9" s="349">
        <f>'5-DEDUCCIONES CONTABLES-FISCAL'!F8+'5-DEDUCCIONES CONTABLES-FISCAL'!F11</f>
        <v>22040.52</v>
      </c>
      <c r="D9" s="350" t="s">
        <v>346</v>
      </c>
    </row>
    <row r="10" spans="1:4" x14ac:dyDescent="0.25">
      <c r="C10" s="347"/>
    </row>
    <row r="11" spans="1:4" x14ac:dyDescent="0.25">
      <c r="A11" s="206" t="s">
        <v>347</v>
      </c>
      <c r="B11" s="206" t="s">
        <v>348</v>
      </c>
      <c r="C11" s="347">
        <v>0</v>
      </c>
    </row>
    <row r="12" spans="1:4" x14ac:dyDescent="0.25">
      <c r="C12" s="347"/>
    </row>
    <row r="13" spans="1:4" ht="15.75" thickBot="1" x14ac:dyDescent="0.3">
      <c r="B13" s="59" t="s">
        <v>360</v>
      </c>
      <c r="C13" s="351">
        <f>+C5-C7-C9-C11</f>
        <v>501137.19691859733</v>
      </c>
      <c r="D13" s="326"/>
    </row>
    <row r="14" spans="1:4" ht="15.75" thickTop="1" x14ac:dyDescent="0.25"/>
    <row r="16" spans="1:4" x14ac:dyDescent="0.25">
      <c r="B16" s="352" t="s">
        <v>349</v>
      </c>
      <c r="C16" s="352"/>
    </row>
    <row r="19" spans="1:4" x14ac:dyDescent="0.25">
      <c r="A19" s="206" t="s">
        <v>350</v>
      </c>
      <c r="B19" s="353" t="s">
        <v>351</v>
      </c>
      <c r="C19" s="354">
        <v>457111.23801844975</v>
      </c>
    </row>
    <row r="20" spans="1:4" x14ac:dyDescent="0.25">
      <c r="C20" s="347"/>
    </row>
    <row r="21" spans="1:4" x14ac:dyDescent="0.25">
      <c r="A21" s="206" t="s">
        <v>350</v>
      </c>
      <c r="B21" s="206" t="s">
        <v>361</v>
      </c>
      <c r="C21" s="347">
        <f>+C13</f>
        <v>501137.19691859733</v>
      </c>
    </row>
    <row r="22" spans="1:4" x14ac:dyDescent="0.25">
      <c r="C22" s="347"/>
    </row>
    <row r="23" spans="1:4" x14ac:dyDescent="0.25">
      <c r="B23" s="206" t="s">
        <v>352</v>
      </c>
      <c r="C23" s="347">
        <v>0</v>
      </c>
    </row>
    <row r="24" spans="1:4" x14ac:dyDescent="0.25">
      <c r="A24" s="206" t="s">
        <v>350</v>
      </c>
      <c r="B24" s="206" t="s">
        <v>353</v>
      </c>
      <c r="C24" s="347"/>
    </row>
    <row r="25" spans="1:4" x14ac:dyDescent="0.25">
      <c r="C25" s="347"/>
    </row>
    <row r="26" spans="1:4" x14ac:dyDescent="0.25">
      <c r="B26" s="206" t="s">
        <v>354</v>
      </c>
      <c r="C26" s="347">
        <v>0</v>
      </c>
    </row>
    <row r="27" spans="1:4" x14ac:dyDescent="0.25">
      <c r="A27" s="206" t="s">
        <v>343</v>
      </c>
      <c r="B27" s="206" t="s">
        <v>355</v>
      </c>
      <c r="C27" s="347"/>
      <c r="D27" s="347"/>
    </row>
    <row r="28" spans="1:4" x14ac:dyDescent="0.25">
      <c r="C28" s="347"/>
      <c r="D28" s="326"/>
    </row>
    <row r="29" spans="1:4" x14ac:dyDescent="0.25">
      <c r="B29" s="206" t="s">
        <v>356</v>
      </c>
      <c r="C29" s="347"/>
    </row>
    <row r="30" spans="1:4" x14ac:dyDescent="0.25">
      <c r="B30" s="206" t="s">
        <v>357</v>
      </c>
      <c r="C30" s="347"/>
    </row>
    <row r="31" spans="1:4" x14ac:dyDescent="0.25">
      <c r="C31" s="347"/>
    </row>
    <row r="32" spans="1:4" ht="16.5" thickBot="1" x14ac:dyDescent="0.3">
      <c r="B32" s="355" t="s">
        <v>358</v>
      </c>
      <c r="C32" s="356">
        <f>+C19+C21+C23+C26-C29</f>
        <v>958248.43493704707</v>
      </c>
    </row>
    <row r="33" spans="2:3" ht="15.75" thickTop="1" x14ac:dyDescent="0.25"/>
    <row r="36" spans="2:3" x14ac:dyDescent="0.25">
      <c r="B36" s="59"/>
      <c r="C36" s="59"/>
    </row>
    <row r="38" spans="2:3" x14ac:dyDescent="0.25">
      <c r="B38" s="338"/>
      <c r="C38" s="326"/>
    </row>
    <row r="40" spans="2:3" x14ac:dyDescent="0.25">
      <c r="B40" s="338"/>
    </row>
    <row r="41" spans="2:3" x14ac:dyDescent="0.25">
      <c r="B41" s="338"/>
      <c r="C41" s="357"/>
    </row>
    <row r="45" spans="2:3" x14ac:dyDescent="0.25">
      <c r="B45" s="59"/>
      <c r="C45" s="357"/>
    </row>
    <row r="47" spans="2:3" x14ac:dyDescent="0.25">
      <c r="B47" s="338"/>
      <c r="C47" s="326"/>
    </row>
  </sheetData>
  <mergeCells count="2">
    <mergeCell ref="A1:C1"/>
    <mergeCell ref="B3:C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779A-6D73-485A-8171-63F9CF6634F7}">
  <dimension ref="A1:H17"/>
  <sheetViews>
    <sheetView workbookViewId="0">
      <selection activeCell="A2" sqref="A2"/>
    </sheetView>
  </sheetViews>
  <sheetFormatPr baseColWidth="10" defaultRowHeight="15" x14ac:dyDescent="0.25"/>
  <cols>
    <col min="1" max="1" width="18.85546875" customWidth="1"/>
    <col min="2" max="2" width="31.28515625" style="314" bestFit="1" customWidth="1"/>
    <col min="3" max="3" width="12.7109375" customWidth="1"/>
    <col min="4" max="4" width="17.7109375" style="314" bestFit="1" customWidth="1"/>
    <col min="5" max="5" width="28.42578125" bestFit="1" customWidth="1"/>
  </cols>
  <sheetData>
    <row r="1" spans="1:8" ht="24.75" x14ac:dyDescent="0.5">
      <c r="A1" s="309" t="s">
        <v>257</v>
      </c>
      <c r="B1" s="312"/>
      <c r="C1" s="309"/>
      <c r="D1" s="312"/>
      <c r="E1" s="309"/>
      <c r="F1" s="309"/>
    </row>
    <row r="2" spans="1:8" ht="24.75" x14ac:dyDescent="0.5">
      <c r="A2" s="309"/>
      <c r="B2" s="312"/>
      <c r="C2" s="309"/>
      <c r="D2" s="312"/>
      <c r="E2" s="309"/>
      <c r="F2" s="309"/>
    </row>
    <row r="3" spans="1:8" ht="18.75" x14ac:dyDescent="0.3">
      <c r="A3" s="310"/>
      <c r="B3" s="313" t="s">
        <v>31</v>
      </c>
      <c r="C3" s="310" t="s">
        <v>258</v>
      </c>
      <c r="D3" s="313" t="s">
        <v>272</v>
      </c>
      <c r="E3" s="310" t="s">
        <v>259</v>
      </c>
      <c r="F3" s="319" t="s">
        <v>271</v>
      </c>
    </row>
    <row r="4" spans="1:8" ht="18.75" x14ac:dyDescent="0.3">
      <c r="A4" s="310" t="s">
        <v>67</v>
      </c>
      <c r="B4" s="313">
        <v>2576662</v>
      </c>
      <c r="C4" s="310">
        <v>0</v>
      </c>
      <c r="D4" s="313"/>
      <c r="E4" s="315">
        <f>B4*C4</f>
        <v>0</v>
      </c>
      <c r="F4" s="308"/>
    </row>
    <row r="5" spans="1:8" ht="18.75" x14ac:dyDescent="0.3">
      <c r="A5" s="310" t="s">
        <v>68</v>
      </c>
      <c r="B5" s="313">
        <f>2530245+B4</f>
        <v>5106907</v>
      </c>
      <c r="C5" s="310">
        <v>2.3099999999999999E-2</v>
      </c>
      <c r="D5" s="313"/>
      <c r="E5" s="315">
        <f t="shared" ref="E5:E7" si="0">B5*C5</f>
        <v>117969.5517</v>
      </c>
      <c r="F5" s="320">
        <f>E5*0.3</f>
        <v>35390.865509999996</v>
      </c>
      <c r="G5" t="s">
        <v>277</v>
      </c>
    </row>
    <row r="6" spans="1:8" ht="18.75" x14ac:dyDescent="0.3">
      <c r="A6" s="310" t="s">
        <v>69</v>
      </c>
      <c r="B6" s="313">
        <f>B5+2965225</f>
        <v>8072132</v>
      </c>
      <c r="C6" s="310">
        <v>2.3099999999999999E-2</v>
      </c>
      <c r="D6" s="313"/>
      <c r="E6" s="315">
        <f t="shared" si="0"/>
        <v>186466.24919999999</v>
      </c>
      <c r="F6" s="320">
        <f>(E6*0.3)-F5</f>
        <v>20549.009250000003</v>
      </c>
      <c r="G6" t="s">
        <v>277</v>
      </c>
    </row>
    <row r="7" spans="1:8" ht="18.75" x14ac:dyDescent="0.3">
      <c r="A7" s="310" t="s">
        <v>70</v>
      </c>
      <c r="B7" s="313">
        <f>2759389+B6</f>
        <v>10831521</v>
      </c>
      <c r="C7" s="310">
        <v>2.3099999999999999E-2</v>
      </c>
      <c r="D7" s="313"/>
      <c r="E7" s="315">
        <f t="shared" si="0"/>
        <v>250208.13509999998</v>
      </c>
      <c r="F7" s="320">
        <f>(E7*0.3)-F6-F5</f>
        <v>19122.565769999994</v>
      </c>
      <c r="G7" t="s">
        <v>277</v>
      </c>
    </row>
    <row r="8" spans="1:8" ht="18.75" x14ac:dyDescent="0.3">
      <c r="A8" s="310" t="s">
        <v>71</v>
      </c>
      <c r="B8" s="313">
        <f>B7+3073310</f>
        <v>13904831</v>
      </c>
      <c r="C8" s="310">
        <v>2.3099999999999999E-2</v>
      </c>
      <c r="D8" s="313">
        <v>8188</v>
      </c>
      <c r="E8" s="315">
        <f>(B8*C8)-D8</f>
        <v>313013.59609999997</v>
      </c>
      <c r="F8" s="320">
        <f>(E8*0.3)-F7-F6-F5</f>
        <v>18841.638299999999</v>
      </c>
      <c r="G8" t="s">
        <v>273</v>
      </c>
      <c r="H8" t="s">
        <v>274</v>
      </c>
    </row>
    <row r="9" spans="1:8" ht="18.75" x14ac:dyDescent="0.3">
      <c r="A9" s="310" t="s">
        <v>72</v>
      </c>
      <c r="B9" s="313">
        <f>2710051+B8</f>
        <v>16614882</v>
      </c>
      <c r="C9" s="310">
        <v>2.3099999999999999E-2</v>
      </c>
      <c r="D9" s="313">
        <v>16736</v>
      </c>
      <c r="E9" s="315">
        <f>(B9*C9)-D9</f>
        <v>367067.77419999999</v>
      </c>
      <c r="F9" s="320">
        <f>(E9*0.3)-F8-F7-F5-F6</f>
        <v>16216.253430000019</v>
      </c>
      <c r="G9" t="s">
        <v>275</v>
      </c>
    </row>
    <row r="10" spans="1:8" ht="18.75" x14ac:dyDescent="0.3">
      <c r="A10" s="310" t="s">
        <v>73</v>
      </c>
      <c r="B10" s="313">
        <f>2691298+B9</f>
        <v>19306180</v>
      </c>
      <c r="C10" s="310">
        <v>2.3099999999999999E-2</v>
      </c>
      <c r="D10" s="313">
        <v>24565</v>
      </c>
      <c r="E10" s="315">
        <f>(B10*C10)-D10</f>
        <v>421407.75799999997</v>
      </c>
      <c r="F10" s="320">
        <f>(E10*0.3)-F9-F8-F6-F7-F5</f>
        <v>16301.995139999985</v>
      </c>
      <c r="G10" t="s">
        <v>276</v>
      </c>
    </row>
    <row r="11" spans="1:8" ht="18.75" x14ac:dyDescent="0.3">
      <c r="A11" s="310" t="s">
        <v>74</v>
      </c>
      <c r="B11" s="313">
        <f>3089924+B10</f>
        <v>22396104</v>
      </c>
      <c r="C11" s="310">
        <v>2.3099999999999999E-2</v>
      </c>
      <c r="D11" s="313">
        <v>32753</v>
      </c>
      <c r="E11" s="315">
        <f>(B11*C11)-D11</f>
        <v>484597.0024</v>
      </c>
      <c r="F11" s="320">
        <f>(E11*0.3)-F10-F9-F5-F6-F7-F8</f>
        <v>18956.773319999993</v>
      </c>
      <c r="G11" t="s">
        <v>277</v>
      </c>
    </row>
    <row r="12" spans="1:8" ht="18.75" x14ac:dyDescent="0.3">
      <c r="A12" s="310" t="s">
        <v>75</v>
      </c>
      <c r="B12" s="313">
        <f>B11+2888669</f>
        <v>25284773</v>
      </c>
      <c r="C12" s="310">
        <v>2.3099999999999999E-2</v>
      </c>
      <c r="D12" s="313">
        <v>40940</v>
      </c>
      <c r="E12" s="315">
        <f t="shared" ref="E12:E15" si="1">(B12*C12)-D12</f>
        <v>543138.25630000001</v>
      </c>
      <c r="F12" s="320">
        <f>(E12*0.3)-F11-F10-F6-F7-F8-F9-F5</f>
        <v>17562.376170000032</v>
      </c>
      <c r="G12" t="s">
        <v>278</v>
      </c>
    </row>
    <row r="13" spans="1:8" ht="18.75" x14ac:dyDescent="0.3">
      <c r="A13" s="310" t="s">
        <v>76</v>
      </c>
      <c r="B13" s="313">
        <f>3150725+B12</f>
        <v>28435498</v>
      </c>
      <c r="C13" s="310">
        <v>2.3099999999999999E-2</v>
      </c>
      <c r="D13" s="313">
        <v>49128</v>
      </c>
      <c r="E13" s="315">
        <f t="shared" si="1"/>
        <v>607732.00379999995</v>
      </c>
      <c r="F13" s="320">
        <f>(E13*0.3)-F12-F11-F7-F8-F9-F10-F6-F5</f>
        <v>19378.124249999972</v>
      </c>
      <c r="G13" t="s">
        <v>279</v>
      </c>
    </row>
    <row r="14" spans="1:8" ht="18.75" x14ac:dyDescent="0.3">
      <c r="A14" s="310" t="s">
        <v>77</v>
      </c>
      <c r="B14" s="313">
        <f>2940273+B13</f>
        <v>31375771</v>
      </c>
      <c r="C14" s="310">
        <v>2.3099999999999999E-2</v>
      </c>
      <c r="D14" s="313">
        <v>57316</v>
      </c>
      <c r="E14" s="315">
        <f t="shared" si="1"/>
        <v>667464.3101</v>
      </c>
      <c r="F14" s="320">
        <f>(E14*0.3)-F13-F12-F8-F9-F10-F11-F7-F6-F5</f>
        <v>17919.691890000024</v>
      </c>
      <c r="G14" t="s">
        <v>279</v>
      </c>
    </row>
    <row r="15" spans="1:8" ht="18.75" x14ac:dyDescent="0.3">
      <c r="A15" s="310" t="s">
        <v>78</v>
      </c>
      <c r="B15" s="313">
        <f>3199662+B14</f>
        <v>34575433</v>
      </c>
      <c r="C15" s="310">
        <v>2.3099999999999999E-2</v>
      </c>
      <c r="D15" s="313">
        <v>65504</v>
      </c>
      <c r="E15" s="315">
        <f t="shared" si="1"/>
        <v>733188.50229999993</v>
      </c>
      <c r="F15" s="320">
        <f>(E15*0.3)-F14-F13-F9-F10-F11-F12-F8-F7-F6-F5</f>
        <v>19717.25766000001</v>
      </c>
      <c r="G15" t="s">
        <v>279</v>
      </c>
    </row>
    <row r="17" spans="2:6" x14ac:dyDescent="0.25">
      <c r="B17" s="314" t="s">
        <v>300</v>
      </c>
      <c r="F17" s="326">
        <f>SUM(F5:F16)</f>
        <v>219956.55069</v>
      </c>
    </row>
  </sheetData>
  <phoneticPr fontId="38" type="noConversion"/>
  <pageMargins left="0.7" right="0.7" top="0.75" bottom="0.75" header="0.3" footer="0.3"/>
  <pageSetup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66BE-1A9A-4951-96CF-2A9BAA4F5E6D}">
  <dimension ref="A1:F15"/>
  <sheetViews>
    <sheetView workbookViewId="0">
      <selection activeCell="C18" sqref="C18"/>
    </sheetView>
  </sheetViews>
  <sheetFormatPr baseColWidth="10" defaultRowHeight="15" x14ac:dyDescent="0.25"/>
  <cols>
    <col min="1" max="1" width="11.42578125" style="206"/>
    <col min="2" max="2" width="13.42578125" style="314" bestFit="1" customWidth="1"/>
    <col min="3" max="3" width="12.7109375" style="314" bestFit="1" customWidth="1"/>
    <col min="4" max="4" width="12.85546875" style="314" bestFit="1" customWidth="1"/>
    <col min="5" max="5" width="30.7109375" style="314" bestFit="1" customWidth="1"/>
    <col min="6" max="6" width="12.85546875" style="314" bestFit="1" customWidth="1"/>
  </cols>
  <sheetData>
    <row r="1" spans="1:6" ht="18.75" x14ac:dyDescent="0.3">
      <c r="A1" s="311" t="s">
        <v>260</v>
      </c>
      <c r="B1" s="316"/>
      <c r="C1" s="316"/>
      <c r="D1" s="316"/>
    </row>
    <row r="2" spans="1:6" ht="18.75" x14ac:dyDescent="0.3">
      <c r="A2" s="311" t="s">
        <v>395</v>
      </c>
      <c r="B2" s="316"/>
      <c r="C2" s="316"/>
      <c r="D2" s="316"/>
    </row>
    <row r="3" spans="1:6" x14ac:dyDescent="0.25">
      <c r="A3" s="308"/>
      <c r="B3" s="317" t="s">
        <v>261</v>
      </c>
      <c r="C3" s="317" t="s">
        <v>262</v>
      </c>
      <c r="D3" s="317" t="s">
        <v>263</v>
      </c>
      <c r="E3" s="318" t="s">
        <v>264</v>
      </c>
      <c r="F3" s="318" t="s">
        <v>265</v>
      </c>
    </row>
    <row r="4" spans="1:6" x14ac:dyDescent="0.25">
      <c r="A4" s="308" t="s">
        <v>67</v>
      </c>
      <c r="B4" s="317">
        <v>174769</v>
      </c>
      <c r="C4" s="317">
        <v>148496</v>
      </c>
      <c r="D4" s="317">
        <f t="shared" ref="D4:D15" si="0">B4-C4</f>
        <v>26273</v>
      </c>
      <c r="E4" s="317">
        <v>26723</v>
      </c>
      <c r="F4" s="317"/>
    </row>
    <row r="5" spans="1:6" x14ac:dyDescent="0.25">
      <c r="A5" s="308" t="s">
        <v>68</v>
      </c>
      <c r="B5" s="317">
        <v>177448</v>
      </c>
      <c r="C5" s="317">
        <v>261095</v>
      </c>
      <c r="D5" s="317">
        <f t="shared" si="0"/>
        <v>-83647</v>
      </c>
      <c r="E5" s="317"/>
      <c r="F5" s="317">
        <f>D5</f>
        <v>-83647</v>
      </c>
    </row>
    <row r="6" spans="1:6" x14ac:dyDescent="0.25">
      <c r="A6" s="308" t="s">
        <v>69</v>
      </c>
      <c r="B6" s="317">
        <v>219132</v>
      </c>
      <c r="C6" s="317">
        <v>154910</v>
      </c>
      <c r="D6" s="317">
        <f t="shared" si="0"/>
        <v>64222</v>
      </c>
      <c r="E6" s="317">
        <v>64222</v>
      </c>
      <c r="F6" s="317"/>
    </row>
    <row r="7" spans="1:6" x14ac:dyDescent="0.25">
      <c r="A7" s="308" t="s">
        <v>70</v>
      </c>
      <c r="B7" s="317">
        <v>188978</v>
      </c>
      <c r="C7" s="317">
        <v>188491</v>
      </c>
      <c r="D7" s="317">
        <f t="shared" si="0"/>
        <v>487</v>
      </c>
      <c r="E7" s="317">
        <v>487</v>
      </c>
      <c r="F7" s="317"/>
    </row>
    <row r="8" spans="1:6" x14ac:dyDescent="0.25">
      <c r="A8" s="308" t="s">
        <v>71</v>
      </c>
      <c r="B8" s="317">
        <v>218204</v>
      </c>
      <c r="C8" s="317">
        <v>223421</v>
      </c>
      <c r="D8" s="317">
        <f t="shared" si="0"/>
        <v>-5217</v>
      </c>
      <c r="E8" s="317"/>
      <c r="F8" s="317">
        <f>D8</f>
        <v>-5217</v>
      </c>
    </row>
    <row r="9" spans="1:6" x14ac:dyDescent="0.25">
      <c r="A9" s="308" t="s">
        <v>72</v>
      </c>
      <c r="B9" s="317">
        <v>192033</v>
      </c>
      <c r="C9" s="317">
        <v>216336</v>
      </c>
      <c r="D9" s="317">
        <f t="shared" si="0"/>
        <v>-24303</v>
      </c>
      <c r="E9" s="317"/>
      <c r="F9" s="317">
        <f>D9</f>
        <v>-24303</v>
      </c>
    </row>
    <row r="10" spans="1:6" x14ac:dyDescent="0.25">
      <c r="A10" s="308" t="s">
        <v>73</v>
      </c>
      <c r="B10" s="317">
        <v>232606</v>
      </c>
      <c r="C10" s="317">
        <v>202794</v>
      </c>
      <c r="D10" s="317">
        <f t="shared" si="0"/>
        <v>29812</v>
      </c>
      <c r="E10" s="317">
        <v>29812</v>
      </c>
      <c r="F10" s="317"/>
    </row>
    <row r="11" spans="1:6" x14ac:dyDescent="0.25">
      <c r="A11" s="308" t="s">
        <v>74</v>
      </c>
      <c r="B11" s="317">
        <v>223423</v>
      </c>
      <c r="C11" s="317">
        <v>168985</v>
      </c>
      <c r="D11" s="317">
        <f t="shared" si="0"/>
        <v>54438</v>
      </c>
      <c r="E11" s="317">
        <v>54438</v>
      </c>
      <c r="F11" s="317"/>
    </row>
    <row r="12" spans="1:6" x14ac:dyDescent="0.25">
      <c r="A12" s="308" t="s">
        <v>75</v>
      </c>
      <c r="B12" s="317">
        <v>200255</v>
      </c>
      <c r="C12" s="317">
        <v>224687</v>
      </c>
      <c r="D12" s="317">
        <f t="shared" si="0"/>
        <v>-24432</v>
      </c>
      <c r="E12" s="317"/>
      <c r="F12" s="317">
        <f>D12</f>
        <v>-24432</v>
      </c>
    </row>
    <row r="13" spans="1:6" x14ac:dyDescent="0.25">
      <c r="A13" s="308" t="s">
        <v>76</v>
      </c>
      <c r="B13" s="317">
        <v>242797</v>
      </c>
      <c r="C13" s="317">
        <v>190042</v>
      </c>
      <c r="D13" s="317">
        <f t="shared" si="0"/>
        <v>52755</v>
      </c>
      <c r="E13" s="317">
        <v>52755</v>
      </c>
      <c r="F13" s="317"/>
    </row>
    <row r="14" spans="1:6" x14ac:dyDescent="0.25">
      <c r="A14" s="308" t="s">
        <v>77</v>
      </c>
      <c r="B14" s="317">
        <v>189441</v>
      </c>
      <c r="C14" s="317">
        <v>212309</v>
      </c>
      <c r="D14" s="317">
        <f t="shared" si="0"/>
        <v>-22868</v>
      </c>
      <c r="E14" s="317"/>
      <c r="F14" s="317">
        <f>D14</f>
        <v>-22868</v>
      </c>
    </row>
    <row r="15" spans="1:6" x14ac:dyDescent="0.25">
      <c r="A15" s="308" t="s">
        <v>78</v>
      </c>
      <c r="B15" s="317">
        <v>210927</v>
      </c>
      <c r="C15" s="317">
        <v>233547</v>
      </c>
      <c r="D15" s="317">
        <f t="shared" si="0"/>
        <v>-22620</v>
      </c>
      <c r="E15" s="317"/>
      <c r="F15" s="317">
        <f>D15</f>
        <v>-22620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D637-BE33-4431-A25D-8919EC3F7CD7}">
  <sheetPr>
    <tabColor rgb="FFFFFF00"/>
    <pageSetUpPr fitToPage="1"/>
  </sheetPr>
  <dimension ref="A1:G45"/>
  <sheetViews>
    <sheetView workbookViewId="0">
      <selection activeCell="A2" sqref="A2"/>
    </sheetView>
  </sheetViews>
  <sheetFormatPr baseColWidth="10" defaultRowHeight="15" x14ac:dyDescent="0.25"/>
  <cols>
    <col min="1" max="1" width="66.5703125" bestFit="1" customWidth="1"/>
    <col min="3" max="3" width="14.140625" style="314" bestFit="1" customWidth="1"/>
    <col min="4" max="4" width="15.140625" bestFit="1" customWidth="1"/>
    <col min="6" max="6" width="14.140625" bestFit="1" customWidth="1"/>
  </cols>
  <sheetData>
    <row r="1" spans="1:4" x14ac:dyDescent="0.25">
      <c r="A1" s="384" t="s">
        <v>395</v>
      </c>
      <c r="B1" s="384"/>
      <c r="C1" s="384"/>
    </row>
    <row r="4" spans="1:4" x14ac:dyDescent="0.25">
      <c r="A4" s="308" t="s">
        <v>364</v>
      </c>
      <c r="B4" s="308"/>
      <c r="C4" s="317" t="s">
        <v>362</v>
      </c>
      <c r="D4" s="308" t="s">
        <v>363</v>
      </c>
    </row>
    <row r="5" spans="1:4" x14ac:dyDescent="0.25">
      <c r="A5" s="358" t="s">
        <v>280</v>
      </c>
      <c r="B5" s="308"/>
      <c r="C5" s="317"/>
      <c r="D5" s="359">
        <v>601220</v>
      </c>
    </row>
    <row r="6" spans="1:4" x14ac:dyDescent="0.25">
      <c r="A6" s="358" t="s">
        <v>281</v>
      </c>
      <c r="B6" s="308"/>
      <c r="C6" s="317"/>
      <c r="D6" s="359">
        <v>24667.67</v>
      </c>
    </row>
    <row r="7" spans="1:4" x14ac:dyDescent="0.25">
      <c r="A7" s="358" t="s">
        <v>282</v>
      </c>
      <c r="B7" s="308"/>
      <c r="C7" s="317"/>
      <c r="D7" s="359">
        <v>937.74</v>
      </c>
    </row>
    <row r="8" spans="1:4" x14ac:dyDescent="0.25">
      <c r="A8" s="358" t="s">
        <v>283</v>
      </c>
      <c r="B8" s="308"/>
      <c r="C8" s="317"/>
      <c r="D8" s="359">
        <v>963.04</v>
      </c>
    </row>
    <row r="9" spans="1:4" x14ac:dyDescent="0.25">
      <c r="A9" s="358" t="s">
        <v>284</v>
      </c>
      <c r="B9" s="308"/>
      <c r="C9" s="317"/>
      <c r="D9" s="359">
        <v>24571.07</v>
      </c>
    </row>
    <row r="10" spans="1:4" x14ac:dyDescent="0.25">
      <c r="A10" s="358" t="s">
        <v>301</v>
      </c>
      <c r="B10" s="308"/>
      <c r="C10" s="317"/>
      <c r="D10" s="359">
        <v>129173.34</v>
      </c>
    </row>
    <row r="11" spans="1:4" x14ac:dyDescent="0.25">
      <c r="A11" s="358" t="s">
        <v>302</v>
      </c>
      <c r="B11" s="308"/>
      <c r="C11" s="317"/>
      <c r="D11" s="359">
        <v>29295.599999999999</v>
      </c>
    </row>
    <row r="12" spans="1:4" x14ac:dyDescent="0.25">
      <c r="A12" s="358" t="s">
        <v>303</v>
      </c>
      <c r="B12" s="308"/>
      <c r="C12" s="317"/>
      <c r="D12" s="359">
        <v>32997.300000000003</v>
      </c>
    </row>
    <row r="13" spans="1:4" x14ac:dyDescent="0.25">
      <c r="A13" s="358" t="s">
        <v>304</v>
      </c>
      <c r="B13" s="308"/>
      <c r="C13" s="317"/>
      <c r="D13" s="359">
        <v>19131</v>
      </c>
    </row>
    <row r="14" spans="1:4" x14ac:dyDescent="0.25">
      <c r="A14" s="358" t="s">
        <v>305</v>
      </c>
      <c r="B14" s="308"/>
      <c r="C14" s="317"/>
      <c r="D14" s="359">
        <v>3533.71</v>
      </c>
    </row>
    <row r="15" spans="1:4" x14ac:dyDescent="0.25">
      <c r="A15" s="358" t="s">
        <v>306</v>
      </c>
      <c r="B15" s="308"/>
      <c r="C15" s="317"/>
      <c r="D15" s="359">
        <v>14142.3</v>
      </c>
    </row>
    <row r="16" spans="1:4" x14ac:dyDescent="0.25">
      <c r="A16" s="358" t="s">
        <v>307</v>
      </c>
      <c r="B16" s="308"/>
      <c r="C16" s="317"/>
      <c r="D16" s="359">
        <v>13559.18</v>
      </c>
    </row>
    <row r="17" spans="1:6" x14ac:dyDescent="0.25">
      <c r="A17" s="358" t="s">
        <v>308</v>
      </c>
      <c r="B17" s="308"/>
      <c r="C17" s="317"/>
      <c r="D17" s="359">
        <v>57624</v>
      </c>
    </row>
    <row r="18" spans="1:6" x14ac:dyDescent="0.25">
      <c r="A18" s="358" t="s">
        <v>309</v>
      </c>
      <c r="B18" s="308"/>
      <c r="C18" s="317"/>
      <c r="D18" s="359">
        <v>51381.08</v>
      </c>
    </row>
    <row r="19" spans="1:6" x14ac:dyDescent="0.25">
      <c r="A19" s="358" t="s">
        <v>310</v>
      </c>
      <c r="B19" s="308"/>
      <c r="C19" s="317"/>
      <c r="D19" s="359">
        <v>41050</v>
      </c>
    </row>
    <row r="20" spans="1:6" x14ac:dyDescent="0.25">
      <c r="A20" s="358" t="s">
        <v>311</v>
      </c>
      <c r="B20" s="308"/>
      <c r="C20" s="317"/>
      <c r="D20" s="359">
        <v>2011.61</v>
      </c>
    </row>
    <row r="21" spans="1:6" x14ac:dyDescent="0.25">
      <c r="A21" s="358" t="s">
        <v>312</v>
      </c>
      <c r="B21" s="308"/>
      <c r="C21" s="317"/>
      <c r="D21" s="359">
        <v>174593.97</v>
      </c>
    </row>
    <row r="22" spans="1:6" x14ac:dyDescent="0.25">
      <c r="A22" s="358" t="s">
        <v>313</v>
      </c>
      <c r="B22" s="308"/>
      <c r="C22" s="317"/>
      <c r="D22" s="359">
        <v>40000</v>
      </c>
    </row>
    <row r="23" spans="1:6" x14ac:dyDescent="0.25">
      <c r="A23" s="358" t="s">
        <v>314</v>
      </c>
      <c r="B23" s="308"/>
      <c r="C23" s="317"/>
      <c r="D23" s="359">
        <v>37410.89</v>
      </c>
    </row>
    <row r="24" spans="1:6" x14ac:dyDescent="0.25">
      <c r="A24" s="358" t="s">
        <v>315</v>
      </c>
      <c r="B24" s="308"/>
      <c r="C24" s="317"/>
      <c r="D24" s="359">
        <v>11250</v>
      </c>
    </row>
    <row r="25" spans="1:6" x14ac:dyDescent="0.25">
      <c r="A25" s="358" t="s">
        <v>316</v>
      </c>
      <c r="B25" s="308"/>
      <c r="C25" s="317"/>
      <c r="D25" s="359">
        <v>29785.200000000001</v>
      </c>
    </row>
    <row r="26" spans="1:6" x14ac:dyDescent="0.25">
      <c r="A26" s="358" t="s">
        <v>319</v>
      </c>
      <c r="B26" s="308"/>
      <c r="C26" s="317"/>
      <c r="D26" s="359">
        <v>197.95</v>
      </c>
    </row>
    <row r="27" spans="1:6" x14ac:dyDescent="0.25">
      <c r="A27" s="358" t="s">
        <v>320</v>
      </c>
      <c r="B27" s="308"/>
      <c r="C27" s="317"/>
      <c r="D27" s="359">
        <v>12924</v>
      </c>
    </row>
    <row r="28" spans="1:6" x14ac:dyDescent="0.25">
      <c r="A28" s="358" t="s">
        <v>317</v>
      </c>
      <c r="B28" s="308"/>
      <c r="C28" s="317"/>
      <c r="D28" s="359">
        <v>1679.1</v>
      </c>
    </row>
    <row r="29" spans="1:6" x14ac:dyDescent="0.25">
      <c r="A29" s="360" t="s">
        <v>366</v>
      </c>
      <c r="B29" s="308"/>
      <c r="C29" s="317">
        <v>15251259.529999999</v>
      </c>
      <c r="D29" s="308"/>
      <c r="F29" s="326"/>
    </row>
    <row r="30" spans="1:6" x14ac:dyDescent="0.25">
      <c r="A30" s="360" t="s">
        <v>365</v>
      </c>
      <c r="B30" s="308"/>
      <c r="C30" s="317">
        <v>19324167.280000001</v>
      </c>
      <c r="D30" s="308"/>
      <c r="F30" s="326"/>
    </row>
    <row r="31" spans="1:6" x14ac:dyDescent="0.25">
      <c r="A31" s="360" t="s">
        <v>367</v>
      </c>
      <c r="B31" s="308"/>
      <c r="C31" s="317"/>
      <c r="D31" s="222">
        <f>'3-COSTO DE VENTAS'!B8</f>
        <v>32380542.829999998</v>
      </c>
    </row>
    <row r="32" spans="1:6" x14ac:dyDescent="0.25">
      <c r="A32" s="360" t="s">
        <v>368</v>
      </c>
      <c r="B32" s="308"/>
      <c r="C32" s="317"/>
      <c r="D32" s="317">
        <v>5416.04</v>
      </c>
    </row>
    <row r="33" spans="1:7" x14ac:dyDescent="0.25">
      <c r="A33" s="360" t="s">
        <v>369</v>
      </c>
      <c r="B33" s="308"/>
      <c r="C33" s="317"/>
      <c r="D33" s="317">
        <v>35560.32</v>
      </c>
      <c r="G33" s="326"/>
    </row>
    <row r="34" spans="1:7" x14ac:dyDescent="0.25">
      <c r="A34" s="360" t="s">
        <v>370</v>
      </c>
      <c r="B34" s="308"/>
      <c r="C34" s="317"/>
      <c r="D34" s="317">
        <v>7920</v>
      </c>
      <c r="G34" s="326"/>
    </row>
    <row r="35" spans="1:7" x14ac:dyDescent="0.25">
      <c r="A35" s="360" t="s">
        <v>371</v>
      </c>
      <c r="B35" s="308"/>
      <c r="C35" s="317"/>
      <c r="D35" s="317">
        <v>1530</v>
      </c>
    </row>
    <row r="36" spans="1:7" x14ac:dyDescent="0.25">
      <c r="A36" s="360" t="s">
        <v>372</v>
      </c>
      <c r="B36" s="308"/>
      <c r="C36" s="317"/>
      <c r="D36" s="317">
        <v>2617.56</v>
      </c>
    </row>
    <row r="37" spans="1:7" x14ac:dyDescent="0.25">
      <c r="A37" s="360" t="s">
        <v>374</v>
      </c>
      <c r="B37" s="308"/>
      <c r="C37" s="317"/>
      <c r="D37" s="222">
        <f>484434.97+377.7</f>
        <v>484812.67</v>
      </c>
      <c r="E37" s="209"/>
    </row>
    <row r="38" spans="1:7" s="206" customFormat="1" x14ac:dyDescent="0.25">
      <c r="A38" s="360" t="s">
        <v>377</v>
      </c>
      <c r="B38" s="308"/>
      <c r="C38" s="317"/>
      <c r="D38" s="222">
        <v>79086.320000000007</v>
      </c>
    </row>
    <row r="39" spans="1:7" s="206" customFormat="1" x14ac:dyDescent="0.25">
      <c r="A39" s="360" t="s">
        <v>378</v>
      </c>
      <c r="B39" s="308"/>
      <c r="C39" s="317"/>
      <c r="D39" s="222">
        <v>224219.02</v>
      </c>
    </row>
    <row r="40" spans="1:7" s="206" customFormat="1" x14ac:dyDescent="0.25">
      <c r="A40" s="360" t="s">
        <v>366</v>
      </c>
      <c r="B40" s="308"/>
      <c r="C40" s="317">
        <v>0.53</v>
      </c>
      <c r="D40" s="222"/>
    </row>
    <row r="41" spans="1:7" s="206" customFormat="1" x14ac:dyDescent="0.25">
      <c r="A41" s="360" t="s">
        <v>380</v>
      </c>
      <c r="B41" s="308"/>
      <c r="C41" s="317">
        <v>377</v>
      </c>
      <c r="D41" s="222"/>
    </row>
    <row r="42" spans="1:7" s="206" customFormat="1" x14ac:dyDescent="0.25">
      <c r="A42" s="360" t="s">
        <v>367</v>
      </c>
      <c r="B42" s="308"/>
      <c r="C42" s="317">
        <v>0.17</v>
      </c>
      <c r="D42" s="222"/>
    </row>
    <row r="43" spans="1:7" s="206" customFormat="1" x14ac:dyDescent="0.25">
      <c r="A43" s="360"/>
      <c r="B43" s="308"/>
      <c r="C43" s="317"/>
      <c r="D43" s="222"/>
    </row>
    <row r="44" spans="1:7" s="206" customFormat="1" x14ac:dyDescent="0.25">
      <c r="A44" s="360"/>
      <c r="B44" s="308"/>
      <c r="C44" s="317"/>
      <c r="D44" s="222"/>
    </row>
    <row r="45" spans="1:7" x14ac:dyDescent="0.25">
      <c r="A45" s="360" t="s">
        <v>373</v>
      </c>
      <c r="B45" s="308"/>
      <c r="C45" s="317">
        <f>SUM(C5:C42)</f>
        <v>34575804.510000005</v>
      </c>
      <c r="D45" s="317">
        <f>SUM(D5:D42)</f>
        <v>34575804.510000005</v>
      </c>
      <c r="E45" s="326">
        <f>C45-D45</f>
        <v>0</v>
      </c>
      <c r="F45" s="326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scale="76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O41"/>
  <sheetViews>
    <sheetView workbookViewId="0">
      <selection activeCell="O28" sqref="O28"/>
    </sheetView>
  </sheetViews>
  <sheetFormatPr baseColWidth="10" defaultRowHeight="15" x14ac:dyDescent="0.25"/>
  <cols>
    <col min="2" max="2" width="51" customWidth="1"/>
    <col min="3" max="3" width="14.140625" bestFit="1" customWidth="1"/>
    <col min="4" max="4" width="19.28515625" customWidth="1"/>
    <col min="5" max="5" width="12.5703125" bestFit="1" customWidth="1"/>
    <col min="6" max="6" width="14.140625" bestFit="1" customWidth="1"/>
    <col min="7" max="11" width="12.5703125" bestFit="1" customWidth="1"/>
    <col min="12" max="12" width="14.140625" bestFit="1" customWidth="1"/>
    <col min="13" max="13" width="12.5703125" bestFit="1" customWidth="1"/>
    <col min="14" max="14" width="14.140625" bestFit="1" customWidth="1"/>
    <col min="15" max="15" width="16.42578125" customWidth="1"/>
  </cols>
  <sheetData>
    <row r="1" spans="1:15" ht="32.25" thickBot="1" x14ac:dyDescent="0.55000000000000004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</row>
    <row r="2" spans="1:15" ht="15.75" x14ac:dyDescent="0.25">
      <c r="A2" s="90"/>
      <c r="B2" s="91"/>
      <c r="C2" s="92"/>
      <c r="D2" s="91"/>
      <c r="E2" s="93"/>
      <c r="F2" s="94"/>
      <c r="G2" s="93"/>
      <c r="H2" s="94"/>
      <c r="I2" s="93"/>
      <c r="J2" s="94"/>
      <c r="K2" s="93"/>
      <c r="L2" s="94"/>
      <c r="M2" s="93"/>
      <c r="N2" s="93"/>
      <c r="O2" s="62"/>
    </row>
    <row r="3" spans="1:15" x14ac:dyDescent="0.25">
      <c r="A3" s="108" t="s">
        <v>256</v>
      </c>
      <c r="B3" s="109"/>
      <c r="C3" s="110"/>
      <c r="D3" s="111"/>
      <c r="E3" s="99"/>
      <c r="F3" s="100"/>
      <c r="G3" s="99"/>
      <c r="H3" s="100"/>
      <c r="I3" s="99"/>
      <c r="J3" s="100"/>
      <c r="K3" s="99"/>
      <c r="L3" s="100"/>
      <c r="M3" s="99"/>
      <c r="N3" s="99"/>
      <c r="O3" s="67"/>
    </row>
    <row r="4" spans="1:15" ht="15.75" thickBot="1" x14ac:dyDescent="0.3">
      <c r="A4" s="112" t="s">
        <v>65</v>
      </c>
      <c r="B4" s="113" t="s">
        <v>66</v>
      </c>
      <c r="C4" s="114" t="s">
        <v>67</v>
      </c>
      <c r="D4" s="115" t="s">
        <v>68</v>
      </c>
      <c r="E4" s="114" t="s">
        <v>69</v>
      </c>
      <c r="F4" s="115" t="s">
        <v>70</v>
      </c>
      <c r="G4" s="114" t="s">
        <v>71</v>
      </c>
      <c r="H4" s="115" t="s">
        <v>72</v>
      </c>
      <c r="I4" s="114" t="s">
        <v>73</v>
      </c>
      <c r="J4" s="115" t="s">
        <v>74</v>
      </c>
      <c r="K4" s="114" t="s">
        <v>75</v>
      </c>
      <c r="L4" s="115" t="s">
        <v>76</v>
      </c>
      <c r="M4" s="114" t="s">
        <v>77</v>
      </c>
      <c r="N4" s="114" t="s">
        <v>78</v>
      </c>
      <c r="O4" s="106" t="s">
        <v>79</v>
      </c>
    </row>
    <row r="5" spans="1:15" x14ac:dyDescent="0.25">
      <c r="A5" s="116"/>
      <c r="B5" s="117" t="s">
        <v>80</v>
      </c>
      <c r="C5" s="107"/>
      <c r="D5" s="118"/>
      <c r="E5" s="107"/>
      <c r="F5" s="118"/>
      <c r="G5" s="107"/>
      <c r="H5" s="118"/>
      <c r="I5" s="107"/>
      <c r="J5" s="118"/>
      <c r="K5" s="107"/>
      <c r="L5" s="118"/>
      <c r="M5" s="107"/>
      <c r="N5" s="107"/>
      <c r="O5" s="119"/>
    </row>
    <row r="6" spans="1:15" ht="15.75" thickBot="1" x14ac:dyDescent="0.3">
      <c r="A6" s="110"/>
      <c r="B6" s="120"/>
      <c r="C6" s="137"/>
      <c r="D6" s="137"/>
      <c r="E6" s="137"/>
      <c r="F6" s="137"/>
      <c r="G6" s="137"/>
      <c r="H6" s="137"/>
      <c r="I6" s="137"/>
      <c r="J6" s="138"/>
      <c r="K6" s="137"/>
      <c r="L6" s="138"/>
      <c r="M6" s="137"/>
      <c r="N6" s="137"/>
      <c r="O6" s="139"/>
    </row>
    <row r="7" spans="1:15" ht="15.75" thickBot="1" x14ac:dyDescent="0.3">
      <c r="A7" s="121"/>
      <c r="B7" s="122" t="s">
        <v>81</v>
      </c>
      <c r="C7" s="197">
        <f>910806</f>
        <v>910806</v>
      </c>
      <c r="D7" s="197">
        <v>407211</v>
      </c>
      <c r="E7" s="197">
        <v>490684</v>
      </c>
      <c r="F7" s="197">
        <v>366097</v>
      </c>
      <c r="G7" s="197">
        <v>838899</v>
      </c>
      <c r="H7" s="197">
        <v>252209</v>
      </c>
      <c r="I7" s="197">
        <v>387714</v>
      </c>
      <c r="J7" s="197">
        <v>371451</v>
      </c>
      <c r="K7" s="197">
        <v>317588</v>
      </c>
      <c r="L7" s="197">
        <v>487544</v>
      </c>
      <c r="M7" s="197">
        <v>217255</v>
      </c>
      <c r="N7" s="197">
        <v>403726</v>
      </c>
      <c r="O7" s="141">
        <f t="shared" ref="O7:O8" si="0">SUM(C7:N7)</f>
        <v>5451184</v>
      </c>
    </row>
    <row r="8" spans="1:15" ht="15.75" thickBot="1" x14ac:dyDescent="0.3">
      <c r="A8" s="121"/>
      <c r="B8" s="122" t="s">
        <v>266</v>
      </c>
      <c r="C8" s="197">
        <v>9127</v>
      </c>
      <c r="D8" s="197">
        <v>15041</v>
      </c>
      <c r="E8" s="197">
        <v>18703</v>
      </c>
      <c r="F8" s="197">
        <v>1409068</v>
      </c>
      <c r="G8" s="197">
        <v>15143</v>
      </c>
      <c r="H8" s="197">
        <v>18565</v>
      </c>
      <c r="I8" s="197">
        <v>111233</v>
      </c>
      <c r="J8" s="197">
        <v>13090</v>
      </c>
      <c r="K8" s="197">
        <v>16147</v>
      </c>
      <c r="L8" s="197">
        <v>8107</v>
      </c>
      <c r="M8" s="197">
        <v>10080</v>
      </c>
      <c r="N8" s="197">
        <v>13157</v>
      </c>
      <c r="O8" s="141">
        <f t="shared" si="0"/>
        <v>1657461</v>
      </c>
    </row>
    <row r="9" spans="1:15" x14ac:dyDescent="0.25">
      <c r="A9" s="121"/>
      <c r="B9" s="122" t="s">
        <v>265</v>
      </c>
      <c r="C9" s="140">
        <v>112991</v>
      </c>
      <c r="D9" s="140">
        <v>196638</v>
      </c>
      <c r="E9" s="140">
        <v>132417</v>
      </c>
      <c r="F9" s="140">
        <v>131930</v>
      </c>
      <c r="G9" s="140">
        <v>137147</v>
      </c>
      <c r="H9" s="140">
        <v>161450</v>
      </c>
      <c r="I9" s="140">
        <v>191224</v>
      </c>
      <c r="J9" s="140">
        <v>136786</v>
      </c>
      <c r="K9" s="140">
        <v>161219</v>
      </c>
      <c r="L9" s="140">
        <v>108463</v>
      </c>
      <c r="M9" s="140">
        <v>131330</v>
      </c>
      <c r="N9" s="140">
        <v>158875</v>
      </c>
      <c r="O9" s="141">
        <f>SUM(C9:N9)</f>
        <v>1760470</v>
      </c>
    </row>
    <row r="10" spans="1:15" ht="15.75" thickBot="1" x14ac:dyDescent="0.3">
      <c r="A10" s="121"/>
      <c r="B10" s="122" t="s">
        <v>267</v>
      </c>
      <c r="C10" s="142">
        <v>3380</v>
      </c>
      <c r="D10" s="142">
        <v>3529</v>
      </c>
      <c r="E10" s="142">
        <v>0</v>
      </c>
      <c r="F10" s="142">
        <v>0</v>
      </c>
      <c r="G10" s="142">
        <v>0</v>
      </c>
      <c r="H10" s="142"/>
      <c r="I10" s="142">
        <v>82</v>
      </c>
      <c r="J10" s="142"/>
      <c r="K10" s="142"/>
      <c r="L10" s="142"/>
      <c r="M10" s="142"/>
      <c r="N10" s="142">
        <v>172</v>
      </c>
      <c r="O10" s="143">
        <f>SUM(C10:N10)</f>
        <v>7163</v>
      </c>
    </row>
    <row r="11" spans="1:15" x14ac:dyDescent="0.25">
      <c r="A11" s="101"/>
      <c r="B11" s="123" t="s">
        <v>82</v>
      </c>
      <c r="C11" s="144">
        <f>SUM(C7:C10)</f>
        <v>1036304</v>
      </c>
      <c r="D11" s="144">
        <f t="shared" ref="D11:M11" si="1">SUM(D7:D10)</f>
        <v>622419</v>
      </c>
      <c r="E11" s="144">
        <f>SUM(E7:E10)</f>
        <v>641804</v>
      </c>
      <c r="F11" s="144">
        <f t="shared" si="1"/>
        <v>1907095</v>
      </c>
      <c r="G11" s="144">
        <f t="shared" si="1"/>
        <v>991189</v>
      </c>
      <c r="H11" s="144">
        <f t="shared" si="1"/>
        <v>432224</v>
      </c>
      <c r="I11" s="144">
        <f t="shared" si="1"/>
        <v>690253</v>
      </c>
      <c r="J11" s="144">
        <f>SUM(J7:J10)</f>
        <v>521327</v>
      </c>
      <c r="K11" s="144">
        <f t="shared" si="1"/>
        <v>494954</v>
      </c>
      <c r="L11" s="144">
        <f t="shared" si="1"/>
        <v>604114</v>
      </c>
      <c r="M11" s="144">
        <f t="shared" si="1"/>
        <v>358665</v>
      </c>
      <c r="N11" s="144">
        <f>SUM(N7:N10)</f>
        <v>575930</v>
      </c>
      <c r="O11" s="144">
        <f>SUM(O7:O10)</f>
        <v>8876278</v>
      </c>
    </row>
    <row r="12" spans="1:15" x14ac:dyDescent="0.25">
      <c r="A12" s="101"/>
      <c r="B12" s="123"/>
      <c r="C12" s="144"/>
      <c r="D12" s="144"/>
      <c r="E12" s="144"/>
      <c r="F12" s="144"/>
      <c r="G12" s="144"/>
      <c r="H12" s="144"/>
      <c r="I12" s="144"/>
      <c r="J12" s="145"/>
      <c r="K12" s="144"/>
      <c r="L12" s="145">
        <v>0</v>
      </c>
      <c r="M12" s="144"/>
      <c r="N12" s="144"/>
      <c r="O12" s="141"/>
    </row>
    <row r="13" spans="1:15" x14ac:dyDescent="0.25">
      <c r="A13" s="124" t="s">
        <v>83</v>
      </c>
      <c r="B13" s="233" t="s">
        <v>84</v>
      </c>
      <c r="C13" s="107"/>
      <c r="D13" s="107"/>
      <c r="E13" s="107"/>
      <c r="F13" s="107"/>
      <c r="G13" s="107"/>
      <c r="H13" s="107"/>
      <c r="I13" s="107"/>
      <c r="J13" s="118"/>
      <c r="K13" s="107"/>
      <c r="L13" s="138">
        <v>0</v>
      </c>
      <c r="M13" s="107"/>
      <c r="N13" s="107"/>
      <c r="O13" s="126">
        <v>12</v>
      </c>
    </row>
    <row r="14" spans="1:15" x14ac:dyDescent="0.25">
      <c r="A14" s="124"/>
      <c r="B14" s="125"/>
      <c r="C14" s="107"/>
      <c r="D14" s="107"/>
      <c r="E14" s="107"/>
      <c r="F14" s="107"/>
      <c r="G14" s="107"/>
      <c r="H14" s="107"/>
      <c r="I14" s="107"/>
      <c r="J14" s="118"/>
      <c r="K14" s="107"/>
      <c r="L14" s="118"/>
      <c r="M14" s="107"/>
      <c r="N14" s="107"/>
      <c r="O14" s="126"/>
    </row>
    <row r="15" spans="1:15" x14ac:dyDescent="0.25">
      <c r="A15" s="124" t="s">
        <v>85</v>
      </c>
      <c r="B15" s="127" t="s">
        <v>86</v>
      </c>
      <c r="C15" s="137"/>
      <c r="D15" s="137"/>
      <c r="E15" s="137" t="s">
        <v>87</v>
      </c>
      <c r="F15" s="137"/>
      <c r="G15" s="137"/>
      <c r="H15" s="137"/>
      <c r="I15" s="137"/>
      <c r="J15" s="138"/>
      <c r="K15" s="137"/>
      <c r="L15" s="138"/>
      <c r="M15" s="137"/>
      <c r="N15" s="137"/>
      <c r="O15" s="141">
        <f>+O11/O13</f>
        <v>739689.83333333337</v>
      </c>
    </row>
    <row r="16" spans="1:15" x14ac:dyDescent="0.25">
      <c r="A16" s="124"/>
      <c r="B16" s="127"/>
      <c r="C16" s="137"/>
      <c r="D16" s="137"/>
      <c r="E16" s="137"/>
      <c r="F16" s="137"/>
      <c r="G16" s="137"/>
      <c r="H16" s="137"/>
      <c r="I16" s="137"/>
      <c r="J16" s="138"/>
      <c r="K16" s="137"/>
      <c r="L16" s="138"/>
      <c r="M16" s="137"/>
      <c r="N16" s="137"/>
      <c r="O16" s="141"/>
    </row>
    <row r="17" spans="1:15" x14ac:dyDescent="0.25">
      <c r="A17" s="110"/>
      <c r="B17" s="120" t="s">
        <v>88</v>
      </c>
      <c r="C17" s="146"/>
      <c r="D17" s="147"/>
      <c r="E17" s="146"/>
      <c r="F17" s="146"/>
      <c r="G17" s="146"/>
      <c r="H17" s="146"/>
      <c r="I17" s="146"/>
      <c r="J17" s="148"/>
      <c r="K17" s="146"/>
      <c r="L17" s="148"/>
      <c r="M17" s="146"/>
      <c r="N17" s="149"/>
      <c r="O17" s="150"/>
    </row>
    <row r="18" spans="1:15" ht="15.75" thickBot="1" x14ac:dyDescent="0.3">
      <c r="A18" s="110"/>
      <c r="B18" s="120"/>
      <c r="C18" s="146"/>
      <c r="D18" s="147"/>
      <c r="E18" s="146"/>
      <c r="F18" s="146"/>
      <c r="G18" s="146"/>
      <c r="H18" s="146"/>
      <c r="I18" s="146"/>
      <c r="J18" s="151"/>
      <c r="K18" s="146"/>
      <c r="L18" s="148"/>
      <c r="M18" s="146"/>
      <c r="N18" s="149"/>
      <c r="O18" s="150"/>
    </row>
    <row r="19" spans="1:15" ht="15.75" thickBot="1" x14ac:dyDescent="0.3">
      <c r="A19" s="121"/>
      <c r="B19" s="122" t="s">
        <v>89</v>
      </c>
      <c r="C19" s="197">
        <v>733564</v>
      </c>
      <c r="D19" s="197">
        <v>796770</v>
      </c>
      <c r="E19" s="197">
        <v>753265</v>
      </c>
      <c r="F19" s="197">
        <v>1409068</v>
      </c>
      <c r="G19" s="197">
        <v>974021</v>
      </c>
      <c r="H19" s="197">
        <v>67541</v>
      </c>
      <c r="I19" s="197">
        <v>947683</v>
      </c>
      <c r="J19" s="197">
        <v>697134</v>
      </c>
      <c r="K19" s="197">
        <v>838500</v>
      </c>
      <c r="L19" s="197">
        <v>526578</v>
      </c>
      <c r="M19" s="197">
        <v>407744</v>
      </c>
      <c r="N19" s="197">
        <v>1104883</v>
      </c>
      <c r="O19" s="141">
        <f t="shared" ref="O19:O21" si="2">SUM(C19:N19)</f>
        <v>9256751</v>
      </c>
    </row>
    <row r="20" spans="1:15" ht="15.75" thickBot="1" x14ac:dyDescent="0.3">
      <c r="A20" s="121"/>
      <c r="B20" s="122" t="s">
        <v>268</v>
      </c>
      <c r="C20" s="142">
        <v>777</v>
      </c>
      <c r="D20" s="142">
        <v>671</v>
      </c>
      <c r="E20" s="197">
        <v>1418</v>
      </c>
      <c r="F20" s="197">
        <v>1367</v>
      </c>
      <c r="G20" s="197">
        <v>1554</v>
      </c>
      <c r="H20" s="197">
        <v>3149</v>
      </c>
      <c r="I20" s="197">
        <v>3243</v>
      </c>
      <c r="J20" s="197">
        <v>3700</v>
      </c>
      <c r="K20" s="197">
        <v>5436</v>
      </c>
      <c r="L20" s="197">
        <v>2198</v>
      </c>
      <c r="M20" s="197">
        <v>1695</v>
      </c>
      <c r="N20" s="197">
        <v>2285</v>
      </c>
      <c r="O20" s="141">
        <f t="shared" si="2"/>
        <v>27493</v>
      </c>
    </row>
    <row r="21" spans="1:15" ht="15.75" thickBot="1" x14ac:dyDescent="0.3">
      <c r="A21" s="121"/>
      <c r="B21" s="122" t="s">
        <v>269</v>
      </c>
      <c r="C21" s="197">
        <v>671.01</v>
      </c>
      <c r="D21" s="197">
        <v>834</v>
      </c>
      <c r="E21" s="197">
        <v>1124</v>
      </c>
      <c r="F21" s="197">
        <v>1140</v>
      </c>
      <c r="G21" s="197">
        <v>9408</v>
      </c>
      <c r="H21" s="197">
        <v>10774</v>
      </c>
      <c r="I21" s="197">
        <f>11241.95-993</f>
        <v>10248.950000000001</v>
      </c>
      <c r="J21" s="197">
        <v>6353</v>
      </c>
      <c r="K21" s="197">
        <v>6025</v>
      </c>
      <c r="L21" s="197">
        <v>7614</v>
      </c>
      <c r="M21" s="197">
        <v>9414</v>
      </c>
      <c r="N21" s="140">
        <v>10562</v>
      </c>
      <c r="O21" s="141">
        <f t="shared" si="2"/>
        <v>74167.960000000006</v>
      </c>
    </row>
    <row r="22" spans="1:15" x14ac:dyDescent="0.25">
      <c r="A22" s="121"/>
      <c r="B22" s="122" t="s">
        <v>270</v>
      </c>
      <c r="C22" s="140">
        <v>4520</v>
      </c>
      <c r="D22" s="140">
        <v>10884</v>
      </c>
      <c r="E22" s="140">
        <v>7367</v>
      </c>
      <c r="F22" s="140">
        <v>19750</v>
      </c>
      <c r="G22" s="140">
        <v>11148</v>
      </c>
      <c r="H22" s="140">
        <v>34573</v>
      </c>
      <c r="I22" s="140">
        <v>21704</v>
      </c>
      <c r="J22" s="140">
        <v>35319</v>
      </c>
      <c r="K22" s="140">
        <v>36853</v>
      </c>
      <c r="L22" s="140">
        <v>27044.32</v>
      </c>
      <c r="M22" s="140">
        <v>11084</v>
      </c>
      <c r="N22" s="140">
        <v>25411</v>
      </c>
      <c r="O22" s="141">
        <f>SUM(C22:N22)</f>
        <v>245657.32</v>
      </c>
    </row>
    <row r="23" spans="1:15" x14ac:dyDescent="0.25">
      <c r="A23" s="121"/>
      <c r="B23" s="122" t="s">
        <v>90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1">
        <f>SUM(C23:N23)</f>
        <v>0</v>
      </c>
    </row>
    <row r="24" spans="1:15" x14ac:dyDescent="0.25">
      <c r="A24" s="121"/>
      <c r="B24" s="122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1"/>
    </row>
    <row r="25" spans="1:15" x14ac:dyDescent="0.25">
      <c r="A25" s="121"/>
      <c r="B25" s="122"/>
      <c r="C25" s="140"/>
      <c r="D25" s="140"/>
      <c r="E25" s="140"/>
      <c r="F25" s="140"/>
      <c r="G25" s="140"/>
      <c r="H25" s="140"/>
      <c r="I25" s="140"/>
      <c r="J25" s="152"/>
      <c r="K25" s="140"/>
      <c r="L25" s="152"/>
      <c r="M25" s="140"/>
      <c r="N25" s="140"/>
      <c r="O25" s="141"/>
    </row>
    <row r="26" spans="1:15" ht="15.75" thickBot="1" x14ac:dyDescent="0.3">
      <c r="A26" s="128"/>
      <c r="B26" s="127" t="s">
        <v>91</v>
      </c>
      <c r="C26" s="153">
        <f>SUM(C19:C25)</f>
        <v>739532.01</v>
      </c>
      <c r="D26" s="153">
        <f t="shared" ref="D26:E26" si="3">SUM(D19:D25)</f>
        <v>809159</v>
      </c>
      <c r="E26" s="153">
        <f t="shared" si="3"/>
        <v>763174</v>
      </c>
      <c r="F26" s="153">
        <f>SUM(F19:F25)</f>
        <v>1431325</v>
      </c>
      <c r="G26" s="153">
        <f t="shared" ref="G26:N26" si="4">SUM(G19:G25)</f>
        <v>996131</v>
      </c>
      <c r="H26" s="153">
        <f t="shared" si="4"/>
        <v>116037</v>
      </c>
      <c r="I26" s="153">
        <f t="shared" si="4"/>
        <v>982878.95</v>
      </c>
      <c r="J26" s="153">
        <f>SUM(J19:J25)</f>
        <v>742506</v>
      </c>
      <c r="K26" s="153">
        <f t="shared" si="4"/>
        <v>886814</v>
      </c>
      <c r="L26" s="153">
        <f t="shared" si="4"/>
        <v>563434.31999999995</v>
      </c>
      <c r="M26" s="153">
        <f t="shared" si="4"/>
        <v>429937</v>
      </c>
      <c r="N26" s="153">
        <f t="shared" si="4"/>
        <v>1143141</v>
      </c>
      <c r="O26" s="141">
        <f>SUM(O19:O24)</f>
        <v>9604069.2800000012</v>
      </c>
    </row>
    <row r="27" spans="1:15" x14ac:dyDescent="0.25">
      <c r="A27" s="129" t="s">
        <v>83</v>
      </c>
      <c r="B27" s="130" t="s">
        <v>84</v>
      </c>
      <c r="C27" s="102" t="s">
        <v>87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54">
        <v>12</v>
      </c>
    </row>
    <row r="28" spans="1:15" x14ac:dyDescent="0.25">
      <c r="A28" s="131" t="s">
        <v>85</v>
      </c>
      <c r="B28" s="132" t="s">
        <v>92</v>
      </c>
      <c r="C28" s="100"/>
      <c r="D28" s="100"/>
      <c r="E28" s="100"/>
      <c r="F28" s="100"/>
      <c r="G28" s="103" t="s">
        <v>87</v>
      </c>
      <c r="H28" s="100"/>
      <c r="I28" s="100"/>
      <c r="J28" s="100"/>
      <c r="K28" s="100"/>
      <c r="L28" s="100"/>
      <c r="M28" s="100"/>
      <c r="N28" s="100"/>
      <c r="O28" s="141">
        <f>+O26/O27</f>
        <v>800339.1066666668</v>
      </c>
    </row>
    <row r="29" spans="1:15" x14ac:dyDescent="0.25">
      <c r="A29" s="131"/>
      <c r="B29" s="132"/>
      <c r="C29" s="100"/>
      <c r="D29" s="100"/>
      <c r="E29" s="100"/>
      <c r="F29" s="100"/>
      <c r="G29" s="103"/>
      <c r="H29" s="100"/>
      <c r="I29" s="100"/>
      <c r="J29" s="100"/>
      <c r="K29" s="100"/>
      <c r="L29" s="100"/>
      <c r="M29" s="100"/>
      <c r="N29" s="100"/>
      <c r="O29" s="141"/>
    </row>
    <row r="30" spans="1:15" x14ac:dyDescent="0.25">
      <c r="A30" s="64"/>
      <c r="B30" s="133" t="s">
        <v>93</v>
      </c>
      <c r="C30" s="100"/>
      <c r="D30" s="100"/>
      <c r="E30" s="100"/>
      <c r="F30" s="100"/>
      <c r="G30" s="103" t="s">
        <v>87</v>
      </c>
      <c r="H30" s="100"/>
      <c r="I30" s="100"/>
      <c r="J30" s="100"/>
      <c r="K30" s="100"/>
      <c r="L30" s="100"/>
      <c r="M30" s="100"/>
      <c r="N30" s="100"/>
      <c r="O30" s="155">
        <f>+O15-O28</f>
        <v>-60649.273333333433</v>
      </c>
    </row>
    <row r="31" spans="1:15" x14ac:dyDescent="0.25">
      <c r="A31" s="104" t="s">
        <v>94</v>
      </c>
      <c r="B31" s="134" t="s">
        <v>95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56">
        <v>7.3499999999999996E-2</v>
      </c>
    </row>
    <row r="32" spans="1:15" ht="15.75" x14ac:dyDescent="0.25">
      <c r="A32" s="64"/>
      <c r="B32" s="65"/>
      <c r="C32" s="100"/>
      <c r="D32" s="100"/>
      <c r="E32" s="100"/>
      <c r="F32" s="100"/>
      <c r="G32" s="100"/>
      <c r="H32" s="100"/>
      <c r="I32" s="100"/>
      <c r="J32" s="100"/>
      <c r="K32" s="100"/>
      <c r="L32" s="135" t="s">
        <v>211</v>
      </c>
      <c r="M32" s="100"/>
      <c r="N32" s="100"/>
      <c r="O32" s="228">
        <f>+O30*O31</f>
        <v>-4457.7215900000074</v>
      </c>
    </row>
    <row r="33" spans="1:15" x14ac:dyDescent="0.25">
      <c r="A33" s="64"/>
      <c r="B33" s="65"/>
      <c r="C33" s="100"/>
      <c r="D33" s="201" t="s">
        <v>245</v>
      </c>
      <c r="E33" s="294">
        <v>117.30800000000001</v>
      </c>
      <c r="F33" s="100"/>
      <c r="G33" s="100"/>
      <c r="H33" s="100"/>
      <c r="I33" s="100"/>
      <c r="J33" s="100"/>
      <c r="K33" s="100"/>
      <c r="L33" s="100"/>
      <c r="M33" s="100"/>
      <c r="N33" s="100"/>
      <c r="O33" s="78"/>
    </row>
    <row r="34" spans="1:15" x14ac:dyDescent="0.25">
      <c r="A34" s="64"/>
      <c r="B34" s="65"/>
      <c r="C34" s="100"/>
      <c r="D34" s="201" t="s">
        <v>234</v>
      </c>
      <c r="E34" s="59">
        <v>109.271</v>
      </c>
      <c r="F34" s="100"/>
      <c r="G34" s="100"/>
      <c r="H34" s="100"/>
      <c r="I34" s="100"/>
      <c r="J34" s="100"/>
      <c r="K34" s="100"/>
      <c r="L34" s="100"/>
      <c r="M34" s="100"/>
      <c r="N34" s="100"/>
      <c r="O34" s="67"/>
    </row>
    <row r="35" spans="1:15" x14ac:dyDescent="0.25">
      <c r="A35" s="64"/>
      <c r="B35" s="65"/>
      <c r="C35" s="100"/>
      <c r="D35" s="65"/>
      <c r="E35" s="65"/>
      <c r="F35" s="100"/>
      <c r="G35" s="100"/>
      <c r="H35" s="100"/>
      <c r="I35" s="100"/>
      <c r="J35" s="100"/>
      <c r="K35" s="100"/>
      <c r="L35" s="100"/>
      <c r="M35" s="100"/>
      <c r="N35" s="100"/>
      <c r="O35" s="67"/>
    </row>
    <row r="36" spans="1:15" x14ac:dyDescent="0.25">
      <c r="A36" s="64"/>
      <c r="B36" s="65"/>
      <c r="C36" s="100"/>
      <c r="D36" s="134" t="s">
        <v>96</v>
      </c>
      <c r="E36" s="136">
        <f>(+E33/E34)-1</f>
        <v>7.3551079426380284E-2</v>
      </c>
      <c r="F36" s="100"/>
      <c r="G36" s="100"/>
      <c r="H36" s="100"/>
      <c r="I36" s="100"/>
      <c r="J36" s="100"/>
      <c r="K36" s="100"/>
      <c r="L36" s="100"/>
      <c r="M36" s="100"/>
      <c r="N36" s="100"/>
      <c r="O36" s="67"/>
    </row>
    <row r="37" spans="1:15" ht="15.75" thickBot="1" x14ac:dyDescent="0.3">
      <c r="A37" s="68"/>
      <c r="B37" s="69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71"/>
    </row>
    <row r="38" spans="1:15" x14ac:dyDescent="0.25">
      <c r="A38" s="63"/>
      <c r="B38" s="63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63"/>
    </row>
    <row r="39" spans="1:15" x14ac:dyDescent="0.25">
      <c r="A39" s="96"/>
      <c r="B39" s="242" t="s">
        <v>97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6"/>
    </row>
    <row r="40" spans="1:15" x14ac:dyDescent="0.25">
      <c r="A40" s="96"/>
      <c r="B40" s="97" t="s">
        <v>98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6"/>
    </row>
    <row r="41" spans="1:15" x14ac:dyDescent="0.25">
      <c r="B41" t="s">
        <v>207</v>
      </c>
    </row>
  </sheetData>
  <mergeCells count="1">
    <mergeCell ref="A1:O1"/>
  </mergeCells>
  <pageMargins left="0.23622047244094491" right="0.23622047244094491" top="0.74803149606299213" bottom="0.74803149606299213" header="0.31496062992125984" footer="0.31496062992125984"/>
  <pageSetup scale="5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18"/>
  <sheetViews>
    <sheetView workbookViewId="0">
      <selection activeCell="B7" sqref="B7"/>
    </sheetView>
  </sheetViews>
  <sheetFormatPr baseColWidth="10" defaultRowHeight="15" x14ac:dyDescent="0.25"/>
  <cols>
    <col min="1" max="1" width="29.28515625" customWidth="1"/>
    <col min="2" max="2" width="22.28515625" customWidth="1"/>
    <col min="3" max="3" width="35.7109375" customWidth="1"/>
  </cols>
  <sheetData>
    <row r="1" spans="1:3" ht="15.75" thickBot="1" x14ac:dyDescent="0.3"/>
    <row r="2" spans="1:3" ht="15.75" thickBot="1" x14ac:dyDescent="0.3">
      <c r="A2" s="366" t="s">
        <v>99</v>
      </c>
      <c r="B2" s="367"/>
      <c r="C2" s="368"/>
    </row>
    <row r="3" spans="1:3" ht="15.75" thickBot="1" x14ac:dyDescent="0.3">
      <c r="A3" s="34" t="s">
        <v>7</v>
      </c>
      <c r="B3" s="369"/>
      <c r="C3" s="370"/>
    </row>
    <row r="4" spans="1:3" x14ac:dyDescent="0.25">
      <c r="A4" s="13" t="s">
        <v>100</v>
      </c>
      <c r="B4" s="7">
        <v>24518</v>
      </c>
      <c r="C4" s="15"/>
    </row>
    <row r="5" spans="1:3" ht="15.75" thickBot="1" x14ac:dyDescent="0.3">
      <c r="A5" s="13" t="s">
        <v>101</v>
      </c>
      <c r="B5" s="14">
        <v>33852593</v>
      </c>
      <c r="C5" s="16"/>
    </row>
    <row r="6" spans="1:3" ht="15.75" thickBot="1" x14ac:dyDescent="0.3">
      <c r="A6" s="13" t="s">
        <v>102</v>
      </c>
      <c r="B6" s="19">
        <f>SUM(B4:B5)</f>
        <v>33877111</v>
      </c>
      <c r="C6" s="20"/>
    </row>
    <row r="7" spans="1:3" ht="15.75" thickTop="1" x14ac:dyDescent="0.25">
      <c r="A7" s="6" t="s">
        <v>103</v>
      </c>
      <c r="B7" s="7">
        <v>1496568.17</v>
      </c>
      <c r="C7" s="15"/>
    </row>
    <row r="8" spans="1:3" ht="15.75" thickBot="1" x14ac:dyDescent="0.3">
      <c r="A8" s="6" t="s">
        <v>138</v>
      </c>
      <c r="B8" s="229">
        <f>B4+B5-B7</f>
        <v>32380542.829999998</v>
      </c>
      <c r="C8" s="15"/>
    </row>
    <row r="9" spans="1:3" ht="15.75" thickTop="1" x14ac:dyDescent="0.25">
      <c r="A9" s="6"/>
      <c r="B9" s="7"/>
      <c r="C9" s="15"/>
    </row>
    <row r="10" spans="1:3" x14ac:dyDescent="0.25">
      <c r="A10" s="17"/>
      <c r="B10" s="7"/>
      <c r="C10" s="15"/>
    </row>
    <row r="11" spans="1:3" ht="15.75" thickBot="1" x14ac:dyDescent="0.3">
      <c r="A11" s="18"/>
      <c r="B11" s="14"/>
      <c r="C11" s="12"/>
    </row>
    <row r="12" spans="1:3" x14ac:dyDescent="0.25">
      <c r="B12" s="209"/>
    </row>
    <row r="13" spans="1:3" x14ac:dyDescent="0.25">
      <c r="B13" s="209"/>
    </row>
    <row r="14" spans="1:3" x14ac:dyDescent="0.25">
      <c r="B14" s="209"/>
    </row>
    <row r="18" spans="2:2" x14ac:dyDescent="0.25">
      <c r="B18" s="209"/>
    </row>
  </sheetData>
  <mergeCells count="2">
    <mergeCell ref="A2:C2"/>
    <mergeCell ref="B3:C3"/>
  </mergeCells>
  <pageMargins left="0.70866141732283472" right="0.70866141732283472" top="0.74803149606299213" bottom="0.74803149606299213" header="0.31496062992125984" footer="0.31496062992125984"/>
  <pageSetup scale="12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2:F12"/>
  <sheetViews>
    <sheetView workbookViewId="0">
      <selection activeCell="E5" sqref="E5"/>
    </sheetView>
  </sheetViews>
  <sheetFormatPr baseColWidth="10" defaultRowHeight="15" x14ac:dyDescent="0.25"/>
  <cols>
    <col min="2" max="2" width="38.85546875" customWidth="1"/>
    <col min="3" max="3" width="31.85546875" customWidth="1"/>
    <col min="4" max="4" width="32.140625" customWidth="1"/>
    <col min="6" max="6" width="19.7109375" customWidth="1"/>
  </cols>
  <sheetData>
    <row r="2" spans="2:6" ht="15.75" thickBot="1" x14ac:dyDescent="0.3">
      <c r="C2" s="59"/>
    </row>
    <row r="3" spans="2:6" ht="15.75" thickBot="1" x14ac:dyDescent="0.3">
      <c r="B3" s="362" t="s">
        <v>104</v>
      </c>
      <c r="C3" s="363"/>
      <c r="D3" s="364"/>
    </row>
    <row r="4" spans="2:6" ht="15.75" thickBot="1" x14ac:dyDescent="0.3">
      <c r="B4" s="34" t="s">
        <v>7</v>
      </c>
      <c r="C4" s="223" t="s">
        <v>8</v>
      </c>
      <c r="D4" s="224" t="s">
        <v>9</v>
      </c>
    </row>
    <row r="5" spans="2:6" x14ac:dyDescent="0.25">
      <c r="B5" s="13" t="s">
        <v>10</v>
      </c>
      <c r="C5" s="222">
        <f>34575433+377</f>
        <v>34575810</v>
      </c>
      <c r="D5" s="222">
        <v>34575433</v>
      </c>
      <c r="E5" s="209">
        <f>C5-D5</f>
        <v>377</v>
      </c>
      <c r="F5" s="209"/>
    </row>
    <row r="6" spans="2:6" x14ac:dyDescent="0.25">
      <c r="B6" s="13" t="s">
        <v>143</v>
      </c>
      <c r="C6" s="222">
        <v>0</v>
      </c>
      <c r="D6" s="222">
        <v>0</v>
      </c>
    </row>
    <row r="7" spans="2:6" ht="15.75" thickBot="1" x14ac:dyDescent="0.3">
      <c r="B7" s="13" t="s">
        <v>139</v>
      </c>
      <c r="C7" s="243"/>
      <c r="D7" s="243">
        <f>+C7</f>
        <v>0</v>
      </c>
    </row>
    <row r="8" spans="2:6" ht="16.5" thickBot="1" x14ac:dyDescent="0.3">
      <c r="B8" s="6" t="s">
        <v>46</v>
      </c>
      <c r="C8" s="244">
        <f>SUM(C5:C7)</f>
        <v>34575810</v>
      </c>
      <c r="D8" s="244">
        <f>SUM(D5:D7)</f>
        <v>34575433</v>
      </c>
    </row>
    <row r="9" spans="2:6" x14ac:dyDescent="0.25">
      <c r="B9" s="6"/>
      <c r="C9" s="7"/>
      <c r="D9" s="15"/>
    </row>
    <row r="10" spans="2:6" x14ac:dyDescent="0.25">
      <c r="B10" s="6"/>
      <c r="C10" s="7"/>
      <c r="D10" s="15"/>
    </row>
    <row r="11" spans="2:6" x14ac:dyDescent="0.25">
      <c r="B11" s="17"/>
      <c r="C11" s="7"/>
      <c r="D11" s="15"/>
      <c r="F11" s="209"/>
    </row>
    <row r="12" spans="2:6" ht="15.75" thickBot="1" x14ac:dyDescent="0.3">
      <c r="B12" s="18"/>
      <c r="C12" s="4"/>
      <c r="D12" s="12"/>
    </row>
  </sheetData>
  <mergeCells count="1">
    <mergeCell ref="B3:D3"/>
  </mergeCells>
  <pageMargins left="0.25" right="0.25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C3:I57"/>
  <sheetViews>
    <sheetView topLeftCell="A52" workbookViewId="0">
      <selection activeCell="A14" sqref="A14"/>
    </sheetView>
  </sheetViews>
  <sheetFormatPr baseColWidth="10" defaultRowHeight="15" x14ac:dyDescent="0.25"/>
  <cols>
    <col min="3" max="3" width="59.140625" customWidth="1"/>
    <col min="4" max="4" width="22.5703125" customWidth="1"/>
    <col min="5" max="5" width="26.42578125" customWidth="1"/>
    <col min="6" max="6" width="22.85546875" customWidth="1"/>
    <col min="7" max="7" width="13.85546875" bestFit="1" customWidth="1"/>
    <col min="8" max="8" width="34" bestFit="1" customWidth="1"/>
    <col min="9" max="10" width="12.5703125" bestFit="1" customWidth="1"/>
  </cols>
  <sheetData>
    <row r="3" spans="3:9" ht="24" thickBot="1" x14ac:dyDescent="0.4">
      <c r="C3" s="371"/>
      <c r="D3" s="371"/>
      <c r="E3" s="371"/>
      <c r="F3" s="371"/>
    </row>
    <row r="4" spans="3:9" ht="15.75" thickBot="1" x14ac:dyDescent="0.3">
      <c r="C4" s="362" t="s">
        <v>105</v>
      </c>
      <c r="D4" s="363"/>
      <c r="E4" s="363"/>
      <c r="F4" s="364"/>
    </row>
    <row r="5" spans="3:9" ht="15.75" thickBot="1" x14ac:dyDescent="0.3">
      <c r="C5" s="157" t="s">
        <v>7</v>
      </c>
      <c r="D5" s="1" t="s">
        <v>106</v>
      </c>
      <c r="E5" s="1" t="s">
        <v>107</v>
      </c>
      <c r="F5" s="33" t="s">
        <v>109</v>
      </c>
      <c r="H5" s="277" t="s">
        <v>327</v>
      </c>
    </row>
    <row r="6" spans="3:9" ht="15.75" thickBot="1" x14ac:dyDescent="0.3">
      <c r="C6" s="301" t="s">
        <v>108</v>
      </c>
      <c r="D6" s="285"/>
      <c r="E6" s="158"/>
      <c r="F6" s="15"/>
      <c r="G6" s="46"/>
      <c r="H6" s="302" t="s">
        <v>268</v>
      </c>
      <c r="I6" s="209">
        <f>D15</f>
        <v>19131</v>
      </c>
    </row>
    <row r="7" spans="3:9" x14ac:dyDescent="0.25">
      <c r="C7" s="302" t="s">
        <v>280</v>
      </c>
      <c r="D7" s="298">
        <v>601220</v>
      </c>
      <c r="E7" s="282">
        <f>D7-F7</f>
        <v>601220</v>
      </c>
      <c r="F7" s="207"/>
      <c r="G7" s="46"/>
      <c r="H7" s="302" t="s">
        <v>323</v>
      </c>
      <c r="I7" s="209">
        <f>D12</f>
        <v>129173.34</v>
      </c>
    </row>
    <row r="8" spans="3:9" s="206" customFormat="1" x14ac:dyDescent="0.25">
      <c r="C8" s="302" t="s">
        <v>281</v>
      </c>
      <c r="D8" s="299">
        <v>24667.67</v>
      </c>
      <c r="E8" s="283">
        <f>D8-F8</f>
        <v>21627.149999999998</v>
      </c>
      <c r="F8" s="207">
        <v>3040.52</v>
      </c>
      <c r="G8" s="321"/>
      <c r="H8" s="302" t="s">
        <v>324</v>
      </c>
      <c r="I8" s="209">
        <f>D13</f>
        <v>29295.599999999999</v>
      </c>
    </row>
    <row r="9" spans="3:9" s="206" customFormat="1" x14ac:dyDescent="0.25">
      <c r="C9" s="302" t="s">
        <v>282</v>
      </c>
      <c r="D9" s="299">
        <v>937.74</v>
      </c>
      <c r="E9" s="283">
        <f t="shared" ref="E9:E11" si="0">D9-F9</f>
        <v>937.74</v>
      </c>
      <c r="F9" s="207"/>
      <c r="G9" s="321"/>
      <c r="H9" s="302" t="s">
        <v>325</v>
      </c>
      <c r="I9" s="209">
        <f>D14</f>
        <v>32997.300000000003</v>
      </c>
    </row>
    <row r="10" spans="3:9" s="206" customFormat="1" x14ac:dyDescent="0.25">
      <c r="C10" s="302" t="s">
        <v>283</v>
      </c>
      <c r="D10" s="299">
        <v>963.04</v>
      </c>
      <c r="E10" s="283">
        <f t="shared" si="0"/>
        <v>963.04</v>
      </c>
      <c r="F10" s="207"/>
      <c r="G10" s="321"/>
      <c r="H10" s="206" t="s">
        <v>321</v>
      </c>
      <c r="I10" s="209">
        <f>D16+D17+D18+D19+D20+D21+D22+D24+D25+D26+D27+D28+D29</f>
        <v>314869.92000000004</v>
      </c>
    </row>
    <row r="11" spans="3:9" s="206" customFormat="1" x14ac:dyDescent="0.25">
      <c r="C11" s="302" t="s">
        <v>284</v>
      </c>
      <c r="D11" s="299">
        <v>24571.07</v>
      </c>
      <c r="E11" s="283">
        <f t="shared" si="0"/>
        <v>5571.07</v>
      </c>
      <c r="F11" s="207">
        <v>19000</v>
      </c>
      <c r="G11" s="321"/>
      <c r="H11" s="206" t="s">
        <v>322</v>
      </c>
      <c r="I11" s="209">
        <f>D23</f>
        <v>174593.97</v>
      </c>
    </row>
    <row r="12" spans="3:9" s="206" customFormat="1" x14ac:dyDescent="0.25">
      <c r="C12" s="302" t="s">
        <v>301</v>
      </c>
      <c r="D12" s="299">
        <v>129173.34</v>
      </c>
      <c r="E12" s="283">
        <f t="shared" ref="E12:E40" si="1">+D12</f>
        <v>129173.34</v>
      </c>
      <c r="F12" s="207" t="b">
        <f t="shared" ref="F12:F15" si="2">D12=E12</f>
        <v>1</v>
      </c>
      <c r="G12" s="209"/>
    </row>
    <row r="13" spans="3:9" s="206" customFormat="1" x14ac:dyDescent="0.25">
      <c r="C13" s="302" t="s">
        <v>302</v>
      </c>
      <c r="D13" s="299">
        <v>29295.599999999999</v>
      </c>
      <c r="E13" s="283">
        <f t="shared" si="1"/>
        <v>29295.599999999999</v>
      </c>
      <c r="F13" s="207" t="b">
        <f t="shared" si="2"/>
        <v>1</v>
      </c>
      <c r="G13" s="209"/>
    </row>
    <row r="14" spans="3:9" s="206" customFormat="1" x14ac:dyDescent="0.25">
      <c r="C14" s="302" t="s">
        <v>303</v>
      </c>
      <c r="D14" s="299">
        <v>32997.300000000003</v>
      </c>
      <c r="E14" s="283">
        <f t="shared" si="1"/>
        <v>32997.300000000003</v>
      </c>
      <c r="F14" s="207" t="b">
        <f t="shared" si="2"/>
        <v>1</v>
      </c>
      <c r="G14" s="209"/>
      <c r="H14" s="238" t="s">
        <v>46</v>
      </c>
      <c r="I14" s="209">
        <f>SUM(I6:I13)</f>
        <v>700061.13</v>
      </c>
    </row>
    <row r="15" spans="3:9" s="206" customFormat="1" x14ac:dyDescent="0.25">
      <c r="C15" s="302" t="s">
        <v>304</v>
      </c>
      <c r="D15" s="299">
        <v>19131</v>
      </c>
      <c r="E15" s="283">
        <f t="shared" si="1"/>
        <v>19131</v>
      </c>
      <c r="F15" s="207" t="b">
        <f t="shared" si="2"/>
        <v>1</v>
      </c>
      <c r="G15" s="209"/>
    </row>
    <row r="16" spans="3:9" s="206" customFormat="1" x14ac:dyDescent="0.25">
      <c r="C16" s="302" t="s">
        <v>305</v>
      </c>
      <c r="D16" s="299">
        <v>3533.71</v>
      </c>
      <c r="E16" s="283">
        <f t="shared" si="1"/>
        <v>3533.71</v>
      </c>
      <c r="F16" s="207" t="b">
        <f>D16=E16</f>
        <v>1</v>
      </c>
      <c r="G16" s="209"/>
    </row>
    <row r="17" spans="3:9" s="206" customFormat="1" x14ac:dyDescent="0.25">
      <c r="C17" s="302" t="s">
        <v>306</v>
      </c>
      <c r="D17" s="299">
        <v>14142.3</v>
      </c>
      <c r="E17" s="283">
        <f t="shared" si="1"/>
        <v>14142.3</v>
      </c>
      <c r="F17" s="207" t="b">
        <f t="shared" ref="F17:F29" si="3">D17=E17</f>
        <v>1</v>
      </c>
      <c r="G17" s="209"/>
      <c r="H17" s="253" t="s">
        <v>326</v>
      </c>
      <c r="I17" s="209">
        <f>E45</f>
        <v>56064.023134859941</v>
      </c>
    </row>
    <row r="18" spans="3:9" s="206" customFormat="1" x14ac:dyDescent="0.25">
      <c r="C18" s="302" t="s">
        <v>307</v>
      </c>
      <c r="D18" s="299">
        <v>13559.18</v>
      </c>
      <c r="E18" s="283">
        <f t="shared" si="1"/>
        <v>13559.18</v>
      </c>
      <c r="F18" s="207" t="b">
        <f t="shared" si="3"/>
        <v>1</v>
      </c>
      <c r="G18" s="209"/>
    </row>
    <row r="19" spans="3:9" s="206" customFormat="1" x14ac:dyDescent="0.25">
      <c r="C19" s="302" t="s">
        <v>308</v>
      </c>
      <c r="D19" s="299">
        <v>57624</v>
      </c>
      <c r="E19" s="283">
        <f t="shared" si="1"/>
        <v>57624</v>
      </c>
      <c r="F19" s="207" t="b">
        <f t="shared" si="3"/>
        <v>1</v>
      </c>
      <c r="G19" s="209"/>
    </row>
    <row r="20" spans="3:9" s="206" customFormat="1" x14ac:dyDescent="0.25">
      <c r="C20" s="302" t="s">
        <v>309</v>
      </c>
      <c r="D20" s="299">
        <v>51381.08</v>
      </c>
      <c r="E20" s="283">
        <f t="shared" si="1"/>
        <v>51381.08</v>
      </c>
      <c r="F20" s="207" t="b">
        <f t="shared" si="3"/>
        <v>1</v>
      </c>
      <c r="G20" s="209"/>
    </row>
    <row r="21" spans="3:9" s="206" customFormat="1" x14ac:dyDescent="0.25">
      <c r="C21" s="302" t="s">
        <v>310</v>
      </c>
      <c r="D21" s="299">
        <v>41050</v>
      </c>
      <c r="E21" s="283">
        <f t="shared" si="1"/>
        <v>41050</v>
      </c>
      <c r="F21" s="207" t="b">
        <f t="shared" si="3"/>
        <v>1</v>
      </c>
      <c r="G21" s="209"/>
    </row>
    <row r="22" spans="3:9" s="206" customFormat="1" x14ac:dyDescent="0.25">
      <c r="C22" s="302" t="s">
        <v>311</v>
      </c>
      <c r="D22" s="299">
        <v>2011.61</v>
      </c>
      <c r="E22" s="283">
        <f t="shared" si="1"/>
        <v>2011.61</v>
      </c>
      <c r="F22" s="207" t="b">
        <f t="shared" si="3"/>
        <v>1</v>
      </c>
      <c r="G22" s="209"/>
    </row>
    <row r="23" spans="3:9" s="206" customFormat="1" x14ac:dyDescent="0.25">
      <c r="C23" s="302" t="s">
        <v>312</v>
      </c>
      <c r="D23" s="299">
        <v>174593.97</v>
      </c>
      <c r="E23" s="283">
        <f t="shared" si="1"/>
        <v>174593.97</v>
      </c>
      <c r="F23" s="207" t="b">
        <f t="shared" si="3"/>
        <v>1</v>
      </c>
      <c r="G23" s="209"/>
    </row>
    <row r="24" spans="3:9" s="206" customFormat="1" x14ac:dyDescent="0.25">
      <c r="C24" s="302" t="s">
        <v>313</v>
      </c>
      <c r="D24" s="299">
        <v>40000</v>
      </c>
      <c r="E24" s="283">
        <f t="shared" si="1"/>
        <v>40000</v>
      </c>
      <c r="F24" s="207" t="b">
        <f t="shared" si="3"/>
        <v>1</v>
      </c>
      <c r="G24" s="209"/>
    </row>
    <row r="25" spans="3:9" s="206" customFormat="1" x14ac:dyDescent="0.25">
      <c r="C25" s="302" t="s">
        <v>314</v>
      </c>
      <c r="D25" s="299">
        <v>37410.89</v>
      </c>
      <c r="E25" s="283">
        <f t="shared" si="1"/>
        <v>37410.89</v>
      </c>
      <c r="F25" s="207" t="b">
        <f t="shared" si="3"/>
        <v>1</v>
      </c>
      <c r="G25" s="209"/>
      <c r="H25" s="209"/>
    </row>
    <row r="26" spans="3:9" s="206" customFormat="1" x14ac:dyDescent="0.25">
      <c r="C26" s="302" t="s">
        <v>315</v>
      </c>
      <c r="D26" s="299">
        <v>11250</v>
      </c>
      <c r="E26" s="283">
        <f t="shared" si="1"/>
        <v>11250</v>
      </c>
      <c r="F26" s="207" t="b">
        <f t="shared" si="3"/>
        <v>1</v>
      </c>
      <c r="G26" s="209"/>
    </row>
    <row r="27" spans="3:9" s="206" customFormat="1" x14ac:dyDescent="0.25">
      <c r="C27" s="302" t="s">
        <v>316</v>
      </c>
      <c r="D27" s="299">
        <v>29785.200000000001</v>
      </c>
      <c r="E27" s="283">
        <f t="shared" si="1"/>
        <v>29785.200000000001</v>
      </c>
      <c r="F27" s="207" t="b">
        <f t="shared" si="3"/>
        <v>1</v>
      </c>
      <c r="G27" s="209"/>
    </row>
    <row r="28" spans="3:9" s="206" customFormat="1" x14ac:dyDescent="0.25">
      <c r="C28" s="302" t="s">
        <v>319</v>
      </c>
      <c r="D28" s="299">
        <v>197.95</v>
      </c>
      <c r="E28" s="283">
        <f t="shared" si="1"/>
        <v>197.95</v>
      </c>
      <c r="F28" s="207" t="b">
        <f t="shared" si="3"/>
        <v>1</v>
      </c>
      <c r="G28" s="209"/>
    </row>
    <row r="29" spans="3:9" s="206" customFormat="1" x14ac:dyDescent="0.25">
      <c r="C29" s="302" t="s">
        <v>320</v>
      </c>
      <c r="D29" s="299">
        <v>12924</v>
      </c>
      <c r="E29" s="283">
        <f t="shared" si="1"/>
        <v>12924</v>
      </c>
      <c r="F29" s="207" t="b">
        <f t="shared" si="3"/>
        <v>1</v>
      </c>
      <c r="G29" s="209"/>
    </row>
    <row r="30" spans="3:9" s="206" customFormat="1" x14ac:dyDescent="0.25">
      <c r="C30" s="302" t="s">
        <v>377</v>
      </c>
      <c r="D30" s="222">
        <v>79086.320000000007</v>
      </c>
      <c r="E30" s="283">
        <v>0</v>
      </c>
      <c r="F30" s="207"/>
      <c r="G30" s="209"/>
    </row>
    <row r="31" spans="3:9" s="206" customFormat="1" x14ac:dyDescent="0.25">
      <c r="C31" s="302" t="s">
        <v>378</v>
      </c>
      <c r="D31" s="222">
        <v>224219.02</v>
      </c>
      <c r="E31" s="283">
        <v>0</v>
      </c>
      <c r="F31" s="207"/>
      <c r="G31" s="209"/>
    </row>
    <row r="32" spans="3:9" s="206" customFormat="1" x14ac:dyDescent="0.25">
      <c r="C32" s="302" t="s">
        <v>235</v>
      </c>
      <c r="D32" s="299"/>
      <c r="E32" s="283">
        <f t="shared" si="1"/>
        <v>0</v>
      </c>
      <c r="F32" s="207"/>
      <c r="G32" s="209"/>
    </row>
    <row r="33" spans="3:8" s="206" customFormat="1" x14ac:dyDescent="0.25">
      <c r="C33" s="302" t="s">
        <v>236</v>
      </c>
      <c r="D33" s="299"/>
      <c r="E33" s="283">
        <f t="shared" si="1"/>
        <v>0</v>
      </c>
      <c r="F33" s="207"/>
      <c r="G33" s="209"/>
    </row>
    <row r="34" spans="3:8" s="206" customFormat="1" x14ac:dyDescent="0.25">
      <c r="C34" s="302" t="s">
        <v>246</v>
      </c>
      <c r="D34" s="299"/>
      <c r="E34" s="283">
        <f t="shared" si="1"/>
        <v>0</v>
      </c>
      <c r="F34" s="207"/>
      <c r="G34" s="209"/>
    </row>
    <row r="35" spans="3:8" s="206" customFormat="1" x14ac:dyDescent="0.25">
      <c r="C35" s="302" t="s">
        <v>237</v>
      </c>
      <c r="D35" s="299"/>
      <c r="E35" s="283">
        <f t="shared" si="1"/>
        <v>0</v>
      </c>
      <c r="F35" s="207"/>
      <c r="G35" s="209"/>
    </row>
    <row r="36" spans="3:8" s="206" customFormat="1" x14ac:dyDescent="0.25">
      <c r="C36" s="302" t="s">
        <v>238</v>
      </c>
      <c r="D36" s="299"/>
      <c r="E36" s="283">
        <f t="shared" si="1"/>
        <v>0</v>
      </c>
      <c r="F36" s="207"/>
      <c r="G36" s="209"/>
    </row>
    <row r="37" spans="3:8" s="206" customFormat="1" x14ac:dyDescent="0.25">
      <c r="C37" s="302" t="s">
        <v>239</v>
      </c>
      <c r="D37" s="299"/>
      <c r="E37" s="283">
        <f t="shared" si="1"/>
        <v>0</v>
      </c>
      <c r="F37" s="207"/>
      <c r="G37" s="209"/>
    </row>
    <row r="38" spans="3:8" s="206" customFormat="1" x14ac:dyDescent="0.25">
      <c r="C38" s="302" t="s">
        <v>317</v>
      </c>
      <c r="D38" s="299">
        <v>1679.1</v>
      </c>
      <c r="E38" s="283">
        <v>0</v>
      </c>
      <c r="F38" s="207">
        <f>+D38</f>
        <v>1679.1</v>
      </c>
      <c r="G38" s="209"/>
    </row>
    <row r="39" spans="3:8" s="206" customFormat="1" x14ac:dyDescent="0.25">
      <c r="C39" s="302" t="s">
        <v>240</v>
      </c>
      <c r="D39" s="299"/>
      <c r="E39" s="283">
        <f t="shared" si="1"/>
        <v>0</v>
      </c>
      <c r="F39" s="207"/>
      <c r="G39" s="209"/>
    </row>
    <row r="40" spans="3:8" s="206" customFormat="1" ht="15.75" thickBot="1" x14ac:dyDescent="0.3">
      <c r="C40" s="303" t="s">
        <v>241</v>
      </c>
      <c r="D40" s="300"/>
      <c r="E40" s="284">
        <f t="shared" si="1"/>
        <v>0</v>
      </c>
      <c r="F40" s="207"/>
      <c r="G40" s="209"/>
    </row>
    <row r="41" spans="3:8" s="206" customFormat="1" ht="16.5" thickBot="1" x14ac:dyDescent="0.3">
      <c r="C41" s="280" t="s">
        <v>46</v>
      </c>
      <c r="D41" s="252">
        <f>SUM(D7:D40)</f>
        <v>1657405.09</v>
      </c>
      <c r="E41" s="252">
        <f>SUM(E7:E40)</f>
        <v>1330380.1299999999</v>
      </c>
      <c r="F41" s="252">
        <f t="shared" ref="F41" si="4">SUM(F7:F40)</f>
        <v>23719.62</v>
      </c>
      <c r="G41" s="209"/>
    </row>
    <row r="42" spans="3:8" s="206" customFormat="1" ht="15.75" thickBot="1" x14ac:dyDescent="0.3">
      <c r="C42" s="159"/>
      <c r="D42" s="230"/>
      <c r="E42" s="230"/>
      <c r="F42" s="207"/>
      <c r="G42" s="209"/>
    </row>
    <row r="43" spans="3:8" s="206" customFormat="1" ht="15.75" thickBot="1" x14ac:dyDescent="0.3">
      <c r="C43" s="253" t="s">
        <v>3</v>
      </c>
      <c r="D43" s="234">
        <f>+'1-DEPRECIACION CONTAB-FISCAL'!F24</f>
        <v>53043.82166666667</v>
      </c>
      <c r="E43" s="234"/>
      <c r="F43" s="207"/>
      <c r="G43" s="209"/>
    </row>
    <row r="44" spans="3:8" s="206" customFormat="1" ht="15.75" thickBot="1" x14ac:dyDescent="0.3">
      <c r="C44" s="253"/>
      <c r="D44" s="230"/>
      <c r="E44" s="230"/>
      <c r="F44" s="207"/>
      <c r="G44" s="209"/>
    </row>
    <row r="45" spans="3:8" s="206" customFormat="1" ht="15.75" thickBot="1" x14ac:dyDescent="0.3">
      <c r="C45" s="253" t="s">
        <v>318</v>
      </c>
      <c r="D45" s="234"/>
      <c r="E45" s="234">
        <f>+'1-DEPRECIACION CONTAB-FISCAL'!J24</f>
        <v>56064.023134859941</v>
      </c>
      <c r="F45" s="207"/>
      <c r="G45" s="209"/>
    </row>
    <row r="46" spans="3:8" s="206" customFormat="1" ht="15.75" thickBot="1" x14ac:dyDescent="0.3">
      <c r="C46" s="253"/>
      <c r="D46" s="230"/>
      <c r="E46" s="230"/>
      <c r="F46" s="207"/>
      <c r="G46" s="209"/>
    </row>
    <row r="47" spans="3:8" s="206" customFormat="1" ht="15.75" thickBot="1" x14ac:dyDescent="0.3">
      <c r="C47" s="253" t="s">
        <v>210</v>
      </c>
      <c r="D47" s="286"/>
      <c r="E47" s="234"/>
      <c r="F47" s="207"/>
      <c r="G47" s="209"/>
    </row>
    <row r="48" spans="3:8" s="206" customFormat="1" ht="15.75" thickBot="1" x14ac:dyDescent="0.3">
      <c r="C48" s="253"/>
      <c r="D48" s="230"/>
      <c r="E48" s="230"/>
      <c r="F48" s="207"/>
      <c r="G48" s="209"/>
      <c r="H48" s="209"/>
    </row>
    <row r="49" spans="3:7" s="206" customFormat="1" ht="15.75" thickBot="1" x14ac:dyDescent="0.3">
      <c r="C49" s="254" t="s">
        <v>211</v>
      </c>
      <c r="D49" s="234"/>
      <c r="E49" s="234"/>
      <c r="F49" s="207"/>
      <c r="G49" s="209"/>
    </row>
    <row r="50" spans="3:7" x14ac:dyDescent="0.25">
      <c r="C50" s="253"/>
      <c r="D50" s="204"/>
      <c r="E50" s="158"/>
      <c r="F50" s="15"/>
      <c r="G50" s="46"/>
    </row>
    <row r="51" spans="3:7" ht="15.75" thickBot="1" x14ac:dyDescent="0.3">
      <c r="C51" s="159"/>
      <c r="D51" s="205"/>
      <c r="E51" s="162"/>
      <c r="F51" s="16"/>
      <c r="G51" s="46"/>
    </row>
    <row r="52" spans="3:7" ht="19.5" thickBot="1" x14ac:dyDescent="0.35">
      <c r="C52" s="159"/>
      <c r="D52" s="231">
        <f>+D49+D47+D45+D43+D41</f>
        <v>1710448.9116666669</v>
      </c>
      <c r="E52" s="231">
        <f>+E49+E47+E45+E43+E41</f>
        <v>1386444.1531348599</v>
      </c>
      <c r="F52" s="231">
        <f>+F49+F47+F45+F43+F41</f>
        <v>23719.62</v>
      </c>
      <c r="G52" s="46"/>
    </row>
    <row r="53" spans="3:7" x14ac:dyDescent="0.25">
      <c r="C53" s="160"/>
      <c r="D53" s="15"/>
      <c r="E53" s="158"/>
      <c r="F53" s="15"/>
      <c r="G53" s="46"/>
    </row>
    <row r="54" spans="3:7" ht="15.75" thickBot="1" x14ac:dyDescent="0.3">
      <c r="C54" s="161"/>
      <c r="D54" s="16"/>
      <c r="E54" s="162"/>
      <c r="F54" s="16"/>
      <c r="G54" s="46"/>
    </row>
    <row r="56" spans="3:7" x14ac:dyDescent="0.25">
      <c r="E56" s="46"/>
    </row>
    <row r="57" spans="3:7" x14ac:dyDescent="0.25">
      <c r="E57" s="209"/>
    </row>
  </sheetData>
  <mergeCells count="2">
    <mergeCell ref="C4:F4"/>
    <mergeCell ref="C3:F3"/>
  </mergeCells>
  <pageMargins left="0.25" right="0.25" top="0.75" bottom="0.75" header="0.3" footer="0.3"/>
  <pageSetup paperSize="9" scale="85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2:L44"/>
  <sheetViews>
    <sheetView topLeftCell="B1" workbookViewId="0">
      <selection activeCell="G5" sqref="G5"/>
    </sheetView>
  </sheetViews>
  <sheetFormatPr baseColWidth="10" defaultRowHeight="15" x14ac:dyDescent="0.25"/>
  <cols>
    <col min="3" max="3" width="36.7109375" customWidth="1"/>
    <col min="4" max="4" width="19.28515625" customWidth="1"/>
    <col min="5" max="5" width="20" customWidth="1"/>
    <col min="6" max="6" width="14" customWidth="1"/>
    <col min="7" max="7" width="16.42578125" customWidth="1"/>
    <col min="8" max="8" width="33.5703125" customWidth="1"/>
    <col min="9" max="9" width="15.42578125" customWidth="1"/>
    <col min="10" max="10" width="21" bestFit="1" customWidth="1"/>
  </cols>
  <sheetData>
    <row r="2" spans="2:10" ht="15.75" thickBot="1" x14ac:dyDescent="0.3">
      <c r="B2" s="164"/>
      <c r="C2" s="164"/>
      <c r="D2" s="164"/>
      <c r="E2" s="164"/>
    </row>
    <row r="3" spans="2:10" ht="21.75" thickBot="1" x14ac:dyDescent="0.4">
      <c r="B3" s="372"/>
      <c r="C3" s="373"/>
      <c r="D3" s="373"/>
      <c r="E3" s="374"/>
      <c r="G3" s="372"/>
      <c r="H3" s="373"/>
      <c r="I3" s="373"/>
      <c r="J3" s="374"/>
    </row>
    <row r="4" spans="2:10" ht="21.75" thickBot="1" x14ac:dyDescent="0.4">
      <c r="B4" s="375" t="s">
        <v>394</v>
      </c>
      <c r="C4" s="376"/>
      <c r="D4" s="376"/>
      <c r="E4" s="377"/>
      <c r="G4" s="375" t="s">
        <v>394</v>
      </c>
      <c r="H4" s="376"/>
      <c r="I4" s="376"/>
      <c r="J4" s="377"/>
    </row>
    <row r="5" spans="2:10" x14ac:dyDescent="0.25">
      <c r="B5" s="165"/>
      <c r="C5" s="165"/>
      <c r="D5" s="165"/>
      <c r="E5" s="165"/>
      <c r="G5" s="179"/>
      <c r="H5" s="179"/>
      <c r="I5" s="179"/>
      <c r="J5" s="179"/>
    </row>
    <row r="6" spans="2:10" x14ac:dyDescent="0.25">
      <c r="B6" s="166" t="s">
        <v>110</v>
      </c>
      <c r="C6" s="166" t="s">
        <v>111</v>
      </c>
      <c r="D6" s="166" t="s">
        <v>107</v>
      </c>
      <c r="E6" s="166" t="s">
        <v>106</v>
      </c>
      <c r="G6" s="180" t="s">
        <v>110</v>
      </c>
      <c r="H6" s="180" t="s">
        <v>111</v>
      </c>
      <c r="I6" s="180" t="s">
        <v>112</v>
      </c>
      <c r="J6" s="180" t="s">
        <v>113</v>
      </c>
    </row>
    <row r="7" spans="2:10" x14ac:dyDescent="0.25">
      <c r="B7" s="165"/>
      <c r="C7" s="165"/>
      <c r="D7" s="165"/>
      <c r="E7" s="165"/>
      <c r="G7" s="179"/>
      <c r="H7" s="179"/>
      <c r="I7" s="179"/>
      <c r="J7" s="179"/>
    </row>
    <row r="8" spans="2:10" ht="15.75" thickBot="1" x14ac:dyDescent="0.3">
      <c r="B8" s="165"/>
      <c r="C8" s="167" t="s">
        <v>114</v>
      </c>
      <c r="D8" s="165"/>
      <c r="E8" s="195">
        <f>+'8-ESTADO DE RESULTADOS'!B13</f>
        <v>484818.25833333499</v>
      </c>
      <c r="G8" s="179"/>
      <c r="H8" s="181" t="s">
        <v>31</v>
      </c>
      <c r="I8" s="173"/>
      <c r="J8" s="184">
        <f>SUM(I10:I11)</f>
        <v>34575433</v>
      </c>
    </row>
    <row r="9" spans="2:10" x14ac:dyDescent="0.25">
      <c r="B9" s="165"/>
      <c r="C9" s="165"/>
      <c r="D9" s="165"/>
      <c r="E9" s="165"/>
      <c r="G9" s="181"/>
      <c r="H9" s="179"/>
      <c r="I9" s="173"/>
      <c r="J9" s="173"/>
    </row>
    <row r="10" spans="2:10" x14ac:dyDescent="0.25">
      <c r="B10" s="166" t="s">
        <v>115</v>
      </c>
      <c r="C10" s="169" t="s">
        <v>116</v>
      </c>
      <c r="D10" s="165"/>
      <c r="E10" s="165">
        <f>+D12</f>
        <v>0</v>
      </c>
      <c r="G10" s="181"/>
      <c r="H10" s="163" t="s">
        <v>128</v>
      </c>
      <c r="I10" s="173">
        <f>+'4-INGRESOS CONTABLES-FISCAL'!D5</f>
        <v>34575433</v>
      </c>
      <c r="J10" s="173"/>
    </row>
    <row r="11" spans="2:10" ht="15.75" thickBot="1" x14ac:dyDescent="0.3">
      <c r="B11" s="169"/>
      <c r="C11" s="165"/>
      <c r="D11" s="165"/>
      <c r="E11" s="165"/>
      <c r="G11" s="181"/>
      <c r="H11" s="163" t="s">
        <v>129</v>
      </c>
      <c r="I11" s="186">
        <f>+'4-INGRESOS CONTABLES-FISCAL'!D7</f>
        <v>0</v>
      </c>
      <c r="J11" s="173"/>
    </row>
    <row r="12" spans="2:10" ht="15.75" thickBot="1" x14ac:dyDescent="0.3">
      <c r="B12" s="169"/>
      <c r="C12" s="170" t="s">
        <v>139</v>
      </c>
      <c r="D12" s="194">
        <f>+'4-INGRESOS CONTABLES-FISCAL'!C7</f>
        <v>0</v>
      </c>
      <c r="E12" s="165"/>
      <c r="G12" s="181"/>
      <c r="H12" s="179"/>
      <c r="I12" s="173"/>
      <c r="J12" s="173"/>
    </row>
    <row r="13" spans="2:10" x14ac:dyDescent="0.25">
      <c r="B13" s="169"/>
      <c r="C13" s="165"/>
      <c r="D13" s="165"/>
      <c r="E13" s="165"/>
      <c r="G13" s="166" t="s">
        <v>115</v>
      </c>
      <c r="H13" s="179"/>
      <c r="I13" s="173"/>
      <c r="J13" s="173"/>
    </row>
    <row r="14" spans="2:10" ht="15.75" thickBot="1" x14ac:dyDescent="0.3">
      <c r="B14" s="166" t="s">
        <v>115</v>
      </c>
      <c r="C14" s="169" t="s">
        <v>117</v>
      </c>
      <c r="D14" s="165"/>
      <c r="E14" s="194">
        <f>SUM(D15:D20)</f>
        <v>2013754.2516666667</v>
      </c>
      <c r="G14" s="180"/>
      <c r="H14" s="179" t="s">
        <v>130</v>
      </c>
      <c r="I14" s="186">
        <f>'2-AJUSTE ANUAL INFLACION'!O32</f>
        <v>-4457.7215900000074</v>
      </c>
      <c r="J14" s="173"/>
    </row>
    <row r="15" spans="2:10" x14ac:dyDescent="0.25">
      <c r="B15" s="169"/>
      <c r="C15" s="165"/>
      <c r="D15" s="167"/>
      <c r="E15" s="165"/>
      <c r="G15" s="180"/>
      <c r="H15" s="179"/>
      <c r="I15" s="173"/>
      <c r="J15" s="173"/>
    </row>
    <row r="16" spans="2:10" x14ac:dyDescent="0.25">
      <c r="B16" s="169"/>
      <c r="C16" s="175" t="s">
        <v>252</v>
      </c>
      <c r="D16" s="167">
        <f>+'8-ESTADO DE RESULTADOS'!B11+'8-ESTADO DE RESULTADOS'!B12</f>
        <v>303305.33999999997</v>
      </c>
      <c r="E16" s="165"/>
      <c r="F16" t="s">
        <v>87</v>
      </c>
      <c r="G16" s="180"/>
      <c r="H16" s="179"/>
      <c r="I16" s="173"/>
      <c r="J16" s="173"/>
    </row>
    <row r="17" spans="2:11" ht="15.75" thickBot="1" x14ac:dyDescent="0.3">
      <c r="B17" s="169"/>
      <c r="C17" s="176" t="s">
        <v>204</v>
      </c>
      <c r="D17" s="167">
        <f>+'5-DEDUCCIONES CONTABLES-FISCAL'!F41</f>
        <v>23719.62</v>
      </c>
      <c r="E17" s="165"/>
      <c r="G17" s="180" t="s">
        <v>126</v>
      </c>
      <c r="H17" s="183" t="s">
        <v>131</v>
      </c>
      <c r="I17" s="173"/>
      <c r="J17" s="184">
        <f>+I21+I22+I19</f>
        <v>33710922.960000001</v>
      </c>
      <c r="K17" s="46"/>
    </row>
    <row r="18" spans="2:11" ht="15.75" thickTop="1" x14ac:dyDescent="0.25">
      <c r="B18" s="169"/>
      <c r="C18" s="165" t="s">
        <v>212</v>
      </c>
      <c r="D18" s="167">
        <f>+'5-DEDUCCIONES CONTABLES-FISCAL'!D47</f>
        <v>0</v>
      </c>
      <c r="E18" s="165"/>
      <c r="G18" s="180"/>
      <c r="H18" s="179"/>
      <c r="I18" s="173"/>
      <c r="J18" s="173"/>
    </row>
    <row r="19" spans="2:11" x14ac:dyDescent="0.25">
      <c r="B19" s="169"/>
      <c r="C19" s="176" t="s">
        <v>108</v>
      </c>
      <c r="D19" s="167">
        <f>+'5-DEDUCCIONES CONTABLES-FISCAL'!D41-D17</f>
        <v>1633685.47</v>
      </c>
      <c r="E19" s="165"/>
      <c r="F19" s="209"/>
      <c r="G19" s="180"/>
      <c r="H19" s="163" t="s">
        <v>132</v>
      </c>
      <c r="I19" s="173">
        <f>'3-COSTO DE VENTAS'!B8</f>
        <v>32380542.829999998</v>
      </c>
      <c r="J19" s="173"/>
    </row>
    <row r="20" spans="2:11" ht="15.75" thickBot="1" x14ac:dyDescent="0.3">
      <c r="B20" s="169"/>
      <c r="C20" s="175" t="s">
        <v>208</v>
      </c>
      <c r="D20" s="293">
        <f>+'5-DEDUCCIONES CONTABLES-FISCAL'!D43</f>
        <v>53043.82166666667</v>
      </c>
      <c r="E20" s="165"/>
      <c r="F20" s="46"/>
      <c r="G20" s="180"/>
      <c r="H20" s="163" t="s">
        <v>133</v>
      </c>
      <c r="I20" s="173">
        <v>0</v>
      </c>
      <c r="J20" s="173"/>
    </row>
    <row r="21" spans="2:11" x14ac:dyDescent="0.25">
      <c r="B21" s="169"/>
      <c r="E21" s="165"/>
      <c r="F21" s="46"/>
      <c r="G21" s="180"/>
      <c r="H21" s="163" t="s">
        <v>134</v>
      </c>
      <c r="I21" s="173">
        <f>+'5-DEDUCCIONES CONTABLES-FISCAL'!E41</f>
        <v>1330380.1299999999</v>
      </c>
      <c r="J21" s="173"/>
    </row>
    <row r="22" spans="2:11" ht="15.75" thickBot="1" x14ac:dyDescent="0.3">
      <c r="B22" s="166" t="s">
        <v>119</v>
      </c>
      <c r="C22" s="172" t="s">
        <v>120</v>
      </c>
      <c r="D22" s="168"/>
      <c r="E22" s="194">
        <f>+D24</f>
        <v>0</v>
      </c>
      <c r="G22" s="180"/>
      <c r="H22" s="163" t="s">
        <v>135</v>
      </c>
      <c r="I22" s="173">
        <f>+'5-DEDUCCIONES CONTABLES-FISCAL'!E47</f>
        <v>0</v>
      </c>
      <c r="J22" s="173"/>
    </row>
    <row r="23" spans="2:11" x14ac:dyDescent="0.25">
      <c r="B23" s="169"/>
      <c r="C23" s="165"/>
      <c r="D23" s="168"/>
      <c r="E23" s="165"/>
      <c r="G23" s="180"/>
      <c r="H23" s="163" t="s">
        <v>136</v>
      </c>
      <c r="I23" s="173"/>
      <c r="J23" s="173"/>
    </row>
    <row r="24" spans="2:11" ht="15.75" thickBot="1" x14ac:dyDescent="0.3">
      <c r="B24" s="165"/>
      <c r="C24" s="170" t="s">
        <v>139</v>
      </c>
      <c r="D24" s="14">
        <f>+D12</f>
        <v>0</v>
      </c>
      <c r="E24" s="165"/>
      <c r="G24" s="180" t="s">
        <v>126</v>
      </c>
      <c r="H24" s="179"/>
      <c r="I24" s="173"/>
      <c r="J24" s="184">
        <f>SUM(I25:I30)</f>
        <v>56064.023134859941</v>
      </c>
    </row>
    <row r="25" spans="2:11" x14ac:dyDescent="0.25">
      <c r="B25" s="165"/>
      <c r="C25" s="165"/>
      <c r="D25" s="168"/>
      <c r="E25" s="165"/>
      <c r="G25" s="180"/>
      <c r="I25" s="173"/>
      <c r="J25" s="173"/>
    </row>
    <row r="26" spans="2:11" ht="15.75" thickBot="1" x14ac:dyDescent="0.3">
      <c r="B26" s="166" t="s">
        <v>119</v>
      </c>
      <c r="C26" s="172" t="s">
        <v>121</v>
      </c>
      <c r="E26" s="194">
        <f>SUM(D27:D31)</f>
        <v>1386444.1531348599</v>
      </c>
      <c r="G26" s="180"/>
      <c r="H26" s="179" t="s">
        <v>137</v>
      </c>
      <c r="I26" s="173">
        <f>+'5-DEDUCCIONES CONTABLES-FISCAL'!E49</f>
        <v>0</v>
      </c>
      <c r="J26" s="173"/>
    </row>
    <row r="27" spans="2:11" x14ac:dyDescent="0.25">
      <c r="B27" s="165"/>
      <c r="C27" s="175"/>
      <c r="D27" s="213"/>
      <c r="E27" s="165"/>
      <c r="G27" s="180"/>
      <c r="H27" s="179" t="s">
        <v>5</v>
      </c>
      <c r="I27" s="173">
        <f>+'5-DEDUCCIONES CONTABLES-FISCAL'!E45</f>
        <v>56064.023134859941</v>
      </c>
      <c r="J27" s="173"/>
    </row>
    <row r="28" spans="2:11" x14ac:dyDescent="0.25">
      <c r="B28" s="165"/>
      <c r="C28" s="165" t="s">
        <v>5</v>
      </c>
      <c r="D28" s="168">
        <f>+'5-DEDUCCIONES CONTABLES-FISCAL'!E45</f>
        <v>56064.023134859941</v>
      </c>
      <c r="E28" s="165"/>
      <c r="G28" s="166" t="s">
        <v>115</v>
      </c>
      <c r="H28" s="179"/>
      <c r="I28" s="173"/>
      <c r="J28" s="173"/>
    </row>
    <row r="29" spans="2:11" x14ac:dyDescent="0.25">
      <c r="B29" s="169"/>
      <c r="C29" s="211" t="s">
        <v>212</v>
      </c>
      <c r="D29" s="213">
        <f>+'5-DEDUCCIONES CONTABLES-FISCAL'!E47</f>
        <v>0</v>
      </c>
      <c r="E29" s="165"/>
      <c r="G29" s="180"/>
      <c r="H29" s="179" t="s">
        <v>118</v>
      </c>
      <c r="I29" s="173">
        <v>0</v>
      </c>
      <c r="J29" s="173"/>
    </row>
    <row r="30" spans="2:11" x14ac:dyDescent="0.25">
      <c r="B30" s="169"/>
      <c r="C30" s="171" t="s">
        <v>122</v>
      </c>
      <c r="D30" s="168">
        <f>+'5-DEDUCCIONES CONTABLES-FISCAL'!E49</f>
        <v>0</v>
      </c>
      <c r="E30" s="165"/>
      <c r="G30" s="180"/>
      <c r="H30" s="210" t="s">
        <v>203</v>
      </c>
      <c r="I30" s="173"/>
      <c r="J30" s="173"/>
    </row>
    <row r="31" spans="2:11" ht="15.75" thickBot="1" x14ac:dyDescent="0.3">
      <c r="B31" s="169"/>
      <c r="C31" s="176" t="s">
        <v>108</v>
      </c>
      <c r="D31" s="195">
        <f>+'5-DEDUCCIONES CONTABLES-FISCAL'!E41</f>
        <v>1330380.1299999999</v>
      </c>
      <c r="E31" s="165"/>
      <c r="F31" s="209"/>
      <c r="G31" s="180"/>
      <c r="H31" s="180" t="s">
        <v>123</v>
      </c>
      <c r="I31" s="173"/>
      <c r="J31" s="227">
        <f>+J8-J17-J24+I29</f>
        <v>808446.01686513913</v>
      </c>
      <c r="K31" s="209"/>
    </row>
    <row r="32" spans="2:11" s="206" customFormat="1" x14ac:dyDescent="0.25">
      <c r="B32" s="214"/>
      <c r="C32" s="211"/>
      <c r="D32" s="211"/>
      <c r="E32" s="211"/>
      <c r="G32" s="217"/>
      <c r="I32" s="215"/>
      <c r="J32" s="215"/>
    </row>
    <row r="33" spans="2:12" x14ac:dyDescent="0.25">
      <c r="B33" s="169"/>
      <c r="C33" s="166" t="s">
        <v>123</v>
      </c>
      <c r="D33" s="165"/>
      <c r="E33" s="227">
        <f>+E8+E10+E14-E22-E26</f>
        <v>1112128.3568651418</v>
      </c>
      <c r="F33" s="46"/>
      <c r="G33" s="235">
        <f>+E33-J31</f>
        <v>303682.34000000264</v>
      </c>
      <c r="H33" s="180" t="s">
        <v>124</v>
      </c>
      <c r="I33" s="173"/>
      <c r="J33" s="185">
        <v>0.3</v>
      </c>
    </row>
    <row r="34" spans="2:12" x14ac:dyDescent="0.25">
      <c r="C34" s="210" t="s">
        <v>203</v>
      </c>
      <c r="D34" s="215"/>
      <c r="E34" s="215"/>
      <c r="F34" s="209"/>
      <c r="G34" s="180"/>
      <c r="H34" s="180" t="s">
        <v>125</v>
      </c>
      <c r="I34" s="173"/>
      <c r="J34" s="173">
        <f>+J31*J33</f>
        <v>242533.80505954172</v>
      </c>
      <c r="L34" s="209">
        <v>42718.133849753627</v>
      </c>
    </row>
    <row r="35" spans="2:12" x14ac:dyDescent="0.25">
      <c r="B35" s="169"/>
      <c r="C35" s="166" t="s">
        <v>124</v>
      </c>
      <c r="D35" s="165"/>
      <c r="E35" s="177">
        <v>0.3</v>
      </c>
      <c r="F35" s="209"/>
      <c r="G35" s="180"/>
      <c r="H35" s="179"/>
      <c r="I35" s="173"/>
      <c r="J35" s="173"/>
    </row>
    <row r="36" spans="2:12" x14ac:dyDescent="0.25">
      <c r="B36" s="169"/>
      <c r="C36" s="166" t="s">
        <v>125</v>
      </c>
      <c r="D36" s="165"/>
      <c r="E36" s="165">
        <f>+E33*E35</f>
        <v>333638.50705954252</v>
      </c>
      <c r="G36" s="180" t="s">
        <v>126</v>
      </c>
      <c r="H36" s="216" t="s">
        <v>231</v>
      </c>
      <c r="I36" s="173"/>
      <c r="J36" s="173">
        <f>+'9-CALCULO ISR ANUAL'!C14</f>
        <v>216939</v>
      </c>
    </row>
    <row r="37" spans="2:12" x14ac:dyDescent="0.25">
      <c r="B37" s="169"/>
      <c r="C37" s="165"/>
      <c r="D37" s="165"/>
      <c r="E37" s="165"/>
      <c r="G37" s="180"/>
      <c r="H37" s="216" t="s">
        <v>233</v>
      </c>
      <c r="I37" s="173"/>
      <c r="J37" s="173">
        <f>+E39</f>
        <v>0</v>
      </c>
    </row>
    <row r="38" spans="2:12" x14ac:dyDescent="0.25">
      <c r="B38" s="166" t="s">
        <v>126</v>
      </c>
      <c r="C38" s="174" t="s">
        <v>231</v>
      </c>
      <c r="D38" s="165"/>
      <c r="E38" s="165">
        <f>+J36</f>
        <v>216939</v>
      </c>
      <c r="G38" s="180"/>
      <c r="H38" s="203" t="s">
        <v>248</v>
      </c>
      <c r="I38" s="173"/>
      <c r="J38" s="173">
        <f>+'9-CALCULO ISR ANUAL'!C13</f>
        <v>0</v>
      </c>
    </row>
    <row r="39" spans="2:12" ht="18.75" x14ac:dyDescent="0.3">
      <c r="B39" s="166"/>
      <c r="C39" s="174" t="s">
        <v>233</v>
      </c>
      <c r="D39" s="165"/>
      <c r="E39" s="165">
        <f>+'9-CALCULO ISR ANUAL'!C12</f>
        <v>0</v>
      </c>
      <c r="G39" s="182"/>
      <c r="H39" s="187" t="s">
        <v>127</v>
      </c>
      <c r="I39" s="188"/>
      <c r="J39" s="292">
        <f>+J34-J36-J37-J38</f>
        <v>25594.805059541715</v>
      </c>
    </row>
    <row r="40" spans="2:12" s="206" customFormat="1" ht="15.75" x14ac:dyDescent="0.25">
      <c r="B40" s="212"/>
      <c r="C40" s="203" t="s">
        <v>248</v>
      </c>
      <c r="D40" s="215"/>
      <c r="E40" s="215"/>
      <c r="G40" s="218"/>
      <c r="H40" s="219"/>
      <c r="I40" s="220"/>
      <c r="J40" s="220"/>
    </row>
    <row r="41" spans="2:12" s="206" customFormat="1" ht="18.75" x14ac:dyDescent="0.3">
      <c r="B41" s="212"/>
      <c r="C41" s="178" t="s">
        <v>127</v>
      </c>
      <c r="D41" s="165"/>
      <c r="E41" s="291">
        <f>+E36-E38-E39-E40</f>
        <v>116699.50705954252</v>
      </c>
      <c r="G41" s="218"/>
      <c r="H41" s="219"/>
      <c r="I41" s="220"/>
      <c r="J41" s="220"/>
    </row>
    <row r="42" spans="2:12" s="206" customFormat="1" ht="15.75" x14ac:dyDescent="0.25">
      <c r="B42" s="212"/>
      <c r="C42" s="216"/>
      <c r="D42" s="211"/>
      <c r="E42" s="211"/>
      <c r="G42" s="218"/>
      <c r="H42" s="219"/>
      <c r="I42" s="220"/>
      <c r="J42" s="220"/>
    </row>
    <row r="43" spans="2:12" s="206" customFormat="1" ht="15.75" x14ac:dyDescent="0.25">
      <c r="B43" s="212"/>
      <c r="C43" s="216"/>
      <c r="D43" s="211"/>
      <c r="E43" s="211"/>
      <c r="G43" s="218"/>
      <c r="H43" s="219"/>
      <c r="I43" s="220"/>
      <c r="J43" s="220"/>
    </row>
    <row r="44" spans="2:12" s="206" customFormat="1" ht="15.75" x14ac:dyDescent="0.25">
      <c r="B44" s="212"/>
      <c r="C44" s="216"/>
      <c r="D44" s="211"/>
      <c r="E44" s="211"/>
      <c r="G44" s="218"/>
      <c r="H44" s="219"/>
      <c r="I44" s="220"/>
      <c r="J44" s="220"/>
    </row>
  </sheetData>
  <mergeCells count="4">
    <mergeCell ref="B3:E3"/>
    <mergeCell ref="B4:E4"/>
    <mergeCell ref="G3:J3"/>
    <mergeCell ref="G4:J4"/>
  </mergeCells>
  <pageMargins left="0.23622047244094491" right="0.23622047244094491" top="0.74803149606299213" bottom="0.74803149606299213" header="0.31496062992125984" footer="0.31496062992125984"/>
  <pageSetup paperSize="9" scale="7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2:J36"/>
  <sheetViews>
    <sheetView workbookViewId="0">
      <selection activeCell="B4" sqref="B4:G4"/>
    </sheetView>
  </sheetViews>
  <sheetFormatPr baseColWidth="10" defaultRowHeight="15" x14ac:dyDescent="0.25"/>
  <cols>
    <col min="2" max="2" width="31" customWidth="1"/>
    <col min="3" max="3" width="15.28515625" customWidth="1"/>
    <col min="4" max="4" width="19.140625" customWidth="1"/>
    <col min="5" max="5" width="35.7109375" customWidth="1"/>
    <col min="6" max="6" width="15.140625" customWidth="1"/>
    <col min="7" max="7" width="14.140625" bestFit="1" customWidth="1"/>
    <col min="9" max="9" width="17" customWidth="1"/>
  </cols>
  <sheetData>
    <row r="2" spans="2:7" ht="21" x14ac:dyDescent="0.35">
      <c r="B2" s="378"/>
      <c r="C2" s="378"/>
      <c r="D2" s="378"/>
      <c r="E2" s="378"/>
      <c r="F2" s="378"/>
      <c r="G2" s="378"/>
    </row>
    <row r="3" spans="2:7" ht="28.5" x14ac:dyDescent="0.45">
      <c r="B3" s="379" t="s">
        <v>395</v>
      </c>
      <c r="C3" s="379"/>
      <c r="D3" s="379"/>
      <c r="E3" s="379"/>
      <c r="F3" s="379"/>
      <c r="G3" s="379"/>
    </row>
    <row r="4" spans="2:7" ht="18.75" x14ac:dyDescent="0.3">
      <c r="B4" s="380" t="s">
        <v>250</v>
      </c>
      <c r="C4" s="380"/>
      <c r="D4" s="380"/>
      <c r="E4" s="380"/>
      <c r="F4" s="380"/>
      <c r="G4" s="380"/>
    </row>
    <row r="5" spans="2:7" ht="21" thickBot="1" x14ac:dyDescent="0.3">
      <c r="B5" s="37"/>
      <c r="C5" s="37"/>
      <c r="D5" s="37"/>
      <c r="E5" s="37"/>
      <c r="F5" s="37"/>
      <c r="G5" s="37"/>
    </row>
    <row r="6" spans="2:7" ht="15.75" thickBot="1" x14ac:dyDescent="0.3">
      <c r="B6" s="38"/>
      <c r="C6" s="39"/>
      <c r="D6" s="40"/>
      <c r="E6" s="39"/>
      <c r="F6" s="41"/>
      <c r="G6" s="42"/>
    </row>
    <row r="7" spans="2:7" ht="15.75" thickBot="1" x14ac:dyDescent="0.3">
      <c r="B7" s="43" t="s">
        <v>47</v>
      </c>
      <c r="C7" s="46"/>
      <c r="E7" s="44" t="s">
        <v>48</v>
      </c>
      <c r="F7" s="45"/>
    </row>
    <row r="8" spans="2:7" ht="15.75" thickTop="1" x14ac:dyDescent="0.25">
      <c r="B8" s="297" t="s">
        <v>226</v>
      </c>
      <c r="C8" s="296">
        <v>10570.4</v>
      </c>
      <c r="D8" s="46"/>
      <c r="E8" s="305" t="s">
        <v>389</v>
      </c>
      <c r="F8" s="296">
        <v>1104883.3799999999</v>
      </c>
    </row>
    <row r="9" spans="2:7" x14ac:dyDescent="0.25">
      <c r="B9" s="297" t="s">
        <v>49</v>
      </c>
      <c r="C9" s="296">
        <v>403726.46</v>
      </c>
      <c r="D9" s="46"/>
      <c r="E9" s="306" t="s">
        <v>227</v>
      </c>
      <c r="F9" s="296"/>
    </row>
    <row r="10" spans="2:7" x14ac:dyDescent="0.25">
      <c r="B10" s="297" t="s">
        <v>381</v>
      </c>
      <c r="C10" s="296">
        <v>1496568.17</v>
      </c>
      <c r="E10" s="306" t="s">
        <v>228</v>
      </c>
      <c r="F10" s="296">
        <f>21691.56+10990.64+25411.7+7280.27</f>
        <v>65374.17</v>
      </c>
      <c r="G10" s="209"/>
    </row>
    <row r="11" spans="2:7" s="206" customFormat="1" x14ac:dyDescent="0.25">
      <c r="B11" s="297" t="s">
        <v>266</v>
      </c>
      <c r="C11" s="296">
        <v>13157.14</v>
      </c>
      <c r="E11" s="306" t="s">
        <v>390</v>
      </c>
      <c r="F11" s="296">
        <v>79086.67</v>
      </c>
      <c r="G11" s="209"/>
    </row>
    <row r="12" spans="2:7" s="206" customFormat="1" x14ac:dyDescent="0.25">
      <c r="B12" s="297" t="s">
        <v>205</v>
      </c>
      <c r="C12" s="296">
        <f>62742.27+8210.56+1229.27+158875.17</f>
        <v>231057.27000000002</v>
      </c>
      <c r="E12" s="306" t="s">
        <v>251</v>
      </c>
      <c r="F12" s="296"/>
    </row>
    <row r="13" spans="2:7" s="206" customFormat="1" x14ac:dyDescent="0.25">
      <c r="B13" s="297" t="s">
        <v>382</v>
      </c>
      <c r="C13" s="296">
        <v>839.27</v>
      </c>
      <c r="D13" s="46"/>
      <c r="E13" s="306" t="s">
        <v>242</v>
      </c>
      <c r="F13" s="296"/>
      <c r="G13" s="209"/>
    </row>
    <row r="14" spans="2:7" s="206" customFormat="1" x14ac:dyDescent="0.25">
      <c r="B14" s="297"/>
      <c r="C14" s="296"/>
      <c r="D14" s="209"/>
      <c r="E14" s="306" t="s">
        <v>229</v>
      </c>
      <c r="F14" s="296"/>
    </row>
    <row r="15" spans="2:7" s="206" customFormat="1" x14ac:dyDescent="0.25">
      <c r="B15" s="297"/>
      <c r="C15" s="296"/>
      <c r="D15" s="209"/>
      <c r="E15" s="306" t="s">
        <v>230</v>
      </c>
      <c r="F15" s="296"/>
    </row>
    <row r="16" spans="2:7" x14ac:dyDescent="0.25">
      <c r="C16" s="35"/>
      <c r="D16" s="7"/>
      <c r="E16" s="47"/>
    </row>
    <row r="17" spans="2:9" ht="15.75" thickBot="1" x14ac:dyDescent="0.3">
      <c r="B17" s="59" t="s">
        <v>50</v>
      </c>
      <c r="C17" s="236"/>
      <c r="D17" s="60">
        <f>SUM(C8:C15)</f>
        <v>2155918.71</v>
      </c>
      <c r="E17" s="289" t="s">
        <v>243</v>
      </c>
      <c r="G17" s="49">
        <f>SUM(F8:F15)</f>
        <v>1249344.2199999997</v>
      </c>
    </row>
    <row r="18" spans="2:9" ht="15.75" thickTop="1" x14ac:dyDescent="0.25">
      <c r="C18" s="209"/>
      <c r="D18" s="7"/>
      <c r="E18" s="47"/>
    </row>
    <row r="19" spans="2:9" ht="15.75" thickBot="1" x14ac:dyDescent="0.3">
      <c r="B19" s="51" t="s">
        <v>51</v>
      </c>
      <c r="C19" s="209"/>
      <c r="D19" s="7"/>
      <c r="E19" s="290" t="s">
        <v>52</v>
      </c>
      <c r="F19" s="46"/>
      <c r="G19" s="50"/>
    </row>
    <row r="20" spans="2:9" ht="15.75" thickTop="1" x14ac:dyDescent="0.25">
      <c r="B20" t="s">
        <v>53</v>
      </c>
      <c r="C20" s="304"/>
      <c r="E20" s="47"/>
      <c r="G20" s="53"/>
    </row>
    <row r="21" spans="2:9" x14ac:dyDescent="0.25">
      <c r="B21" t="s">
        <v>54</v>
      </c>
      <c r="C21" s="296">
        <v>59542.15</v>
      </c>
      <c r="D21" s="209"/>
      <c r="E21" s="54" t="s">
        <v>55</v>
      </c>
      <c r="F21" s="281">
        <v>200000</v>
      </c>
      <c r="G21" s="46"/>
    </row>
    <row r="22" spans="2:9" s="206" customFormat="1" x14ac:dyDescent="0.25">
      <c r="B22" t="s">
        <v>383</v>
      </c>
      <c r="C22" s="296">
        <v>142241.38</v>
      </c>
      <c r="D22" s="209"/>
      <c r="E22" s="54" t="s">
        <v>391</v>
      </c>
      <c r="F22" s="281">
        <v>19661.2</v>
      </c>
      <c r="G22" s="209"/>
    </row>
    <row r="23" spans="2:9" s="206" customFormat="1" x14ac:dyDescent="0.25">
      <c r="B23" s="206" t="s">
        <v>384</v>
      </c>
      <c r="C23" s="296">
        <v>26400</v>
      </c>
      <c r="D23" s="209"/>
      <c r="E23" s="54" t="s">
        <v>392</v>
      </c>
      <c r="F23" s="281">
        <v>373562.74</v>
      </c>
      <c r="G23" s="209"/>
    </row>
    <row r="24" spans="2:9" s="206" customFormat="1" x14ac:dyDescent="0.25">
      <c r="B24" s="206" t="s">
        <v>385</v>
      </c>
      <c r="C24" s="296">
        <v>15300</v>
      </c>
      <c r="D24" s="209"/>
      <c r="E24" s="54" t="s">
        <v>393</v>
      </c>
      <c r="F24" s="281">
        <f>'8-ESTADO DE RESULTADOS'!B13</f>
        <v>484818.25833333499</v>
      </c>
      <c r="G24" s="209"/>
    </row>
    <row r="25" spans="2:9" x14ac:dyDescent="0.25">
      <c r="B25" t="s">
        <v>386</v>
      </c>
      <c r="C25" s="296">
        <v>17450</v>
      </c>
      <c r="D25" s="209"/>
      <c r="E25" s="47"/>
      <c r="F25" s="296"/>
      <c r="G25" s="52"/>
    </row>
    <row r="26" spans="2:9" ht="15.75" thickBot="1" x14ac:dyDescent="0.3">
      <c r="B26" t="s">
        <v>387</v>
      </c>
      <c r="C26" s="296">
        <v>-84907.36</v>
      </c>
      <c r="E26" s="47"/>
      <c r="F26" s="307"/>
    </row>
    <row r="27" spans="2:9" s="206" customFormat="1" x14ac:dyDescent="0.25">
      <c r="B27" s="206" t="s">
        <v>388</v>
      </c>
      <c r="C27" s="296">
        <v>-4580.7299999999996</v>
      </c>
      <c r="E27" s="47"/>
      <c r="F27" s="361"/>
    </row>
    <row r="28" spans="2:9" x14ac:dyDescent="0.25">
      <c r="E28" s="47"/>
    </row>
    <row r="29" spans="2:9" ht="15.75" thickBot="1" x14ac:dyDescent="0.3">
      <c r="B29" t="s">
        <v>57</v>
      </c>
      <c r="D29" s="48">
        <f>SUM(C21:C27)</f>
        <v>171445.43999999997</v>
      </c>
      <c r="E29" s="56" t="s">
        <v>56</v>
      </c>
      <c r="F29" s="55"/>
      <c r="G29" s="57">
        <f>SUM(F21:F26)</f>
        <v>1078042.1983333349</v>
      </c>
    </row>
    <row r="30" spans="2:9" ht="15.75" thickTop="1" x14ac:dyDescent="0.25">
      <c r="E30" s="58"/>
      <c r="F30" s="55"/>
      <c r="G30" s="7"/>
      <c r="I30" s="236"/>
    </row>
    <row r="31" spans="2:9" x14ac:dyDescent="0.25">
      <c r="E31" s="47"/>
      <c r="G31" s="46"/>
    </row>
    <row r="32" spans="2:9" x14ac:dyDescent="0.25">
      <c r="E32" s="47"/>
      <c r="G32" s="7"/>
    </row>
    <row r="33" spans="2:10" ht="15.75" thickBot="1" x14ac:dyDescent="0.3">
      <c r="B33" s="59" t="s">
        <v>58</v>
      </c>
      <c r="C33" s="45"/>
      <c r="D33" s="60">
        <f>+D17+D29</f>
        <v>2327364.15</v>
      </c>
      <c r="E33" s="61" t="s">
        <v>59</v>
      </c>
      <c r="G33" s="60">
        <f>+G17+G29</f>
        <v>2327386.4183333348</v>
      </c>
      <c r="H33" s="209">
        <f>D33-G33</f>
        <v>-22.268333334941417</v>
      </c>
      <c r="I33" s="46"/>
      <c r="J33" s="46"/>
    </row>
    <row r="34" spans="2:10" ht="15.75" thickTop="1" x14ac:dyDescent="0.25">
      <c r="E34" s="58"/>
      <c r="F34" s="46"/>
    </row>
    <row r="35" spans="2:10" x14ac:dyDescent="0.25">
      <c r="D35" s="46"/>
      <c r="E35" s="58"/>
      <c r="F35" s="46"/>
    </row>
    <row r="36" spans="2:10" x14ac:dyDescent="0.25">
      <c r="E36" s="7"/>
      <c r="F36" s="46"/>
    </row>
  </sheetData>
  <mergeCells count="3">
    <mergeCell ref="B2:G2"/>
    <mergeCell ref="B3:G3"/>
    <mergeCell ref="B4:G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E17"/>
  <sheetViews>
    <sheetView workbookViewId="0">
      <selection activeCell="B13" sqref="B13"/>
    </sheetView>
  </sheetViews>
  <sheetFormatPr baseColWidth="10" defaultRowHeight="15" x14ac:dyDescent="0.25"/>
  <cols>
    <col min="1" max="1" width="32.140625" customWidth="1"/>
    <col min="2" max="2" width="21.5703125" customWidth="1"/>
    <col min="4" max="4" width="14.140625" bestFit="1" customWidth="1"/>
  </cols>
  <sheetData>
    <row r="1" spans="1:5" ht="15.75" thickBot="1" x14ac:dyDescent="0.3">
      <c r="A1" s="369" t="s">
        <v>18</v>
      </c>
      <c r="B1" s="381"/>
      <c r="C1" s="381"/>
      <c r="D1" s="381"/>
      <c r="E1" s="370"/>
    </row>
    <row r="2" spans="1:5" x14ac:dyDescent="0.25">
      <c r="A2" s="13" t="s">
        <v>11</v>
      </c>
      <c r="B2" s="5"/>
      <c r="C2" s="5"/>
      <c r="D2" s="5"/>
      <c r="E2" s="10"/>
    </row>
    <row r="3" spans="1:5" x14ac:dyDescent="0.25">
      <c r="A3" s="13" t="s">
        <v>10</v>
      </c>
      <c r="B3" s="7">
        <f>+'4-INGRESOS CONTABLES-FISCAL'!C5</f>
        <v>34575810</v>
      </c>
      <c r="C3" s="5"/>
      <c r="D3" s="5"/>
      <c r="E3" s="10"/>
    </row>
    <row r="4" spans="1:5" ht="15.75" thickBot="1" x14ac:dyDescent="0.3">
      <c r="A4" s="13" t="s">
        <v>12</v>
      </c>
      <c r="B4" s="14">
        <f>+'3-COSTO DE VENTAS'!B8</f>
        <v>32380542.829999998</v>
      </c>
      <c r="C4" s="5"/>
      <c r="D4" s="5"/>
      <c r="E4" s="10"/>
    </row>
    <row r="5" spans="1:5" x14ac:dyDescent="0.25">
      <c r="A5" s="13" t="s">
        <v>13</v>
      </c>
      <c r="B5" s="7">
        <f>+B3-B4</f>
        <v>2195267.1700000018</v>
      </c>
      <c r="C5" s="5"/>
      <c r="D5" s="5"/>
      <c r="E5" s="10"/>
    </row>
    <row r="6" spans="1:5" ht="15.75" thickBot="1" x14ac:dyDescent="0.3">
      <c r="A6" s="13" t="s">
        <v>14</v>
      </c>
      <c r="B6" s="14">
        <f>+'5-DEDUCCIONES CONTABLES-FISCAL'!D41+'5-DEDUCCIONES CONTABLES-FISCAL'!D43-'5-DEDUCCIONES CONTABLES-FISCAL'!D30-'5-DEDUCCIONES CONTABLES-FISCAL'!D31</f>
        <v>1407143.5716666668</v>
      </c>
      <c r="C6" s="5"/>
      <c r="D6" s="7"/>
      <c r="E6" s="10"/>
    </row>
    <row r="7" spans="1:5" x14ac:dyDescent="0.25">
      <c r="A7" s="13" t="s">
        <v>15</v>
      </c>
      <c r="B7" s="7">
        <f>+B5-B6</f>
        <v>788123.59833333502</v>
      </c>
      <c r="C7" s="5"/>
      <c r="D7" s="5"/>
      <c r="E7" s="10"/>
    </row>
    <row r="8" spans="1:5" s="206" customFormat="1" x14ac:dyDescent="0.25">
      <c r="A8" s="203" t="s">
        <v>225</v>
      </c>
      <c r="B8" s="7">
        <f>+'4-INGRESOS CONTABLES-FISCAL'!D7</f>
        <v>0</v>
      </c>
      <c r="C8" s="5"/>
      <c r="D8" s="5"/>
      <c r="E8" s="10"/>
    </row>
    <row r="9" spans="1:5" ht="15.75" thickBot="1" x14ac:dyDescent="0.3">
      <c r="A9" s="13" t="s">
        <v>44</v>
      </c>
      <c r="B9" s="14">
        <f>+'5-DEDUCCIONES CONTABLES-FISCAL'!E47</f>
        <v>0</v>
      </c>
      <c r="C9" s="5"/>
      <c r="D9" s="5"/>
      <c r="E9" s="10"/>
    </row>
    <row r="10" spans="1:5" x14ac:dyDescent="0.25">
      <c r="A10" s="13" t="s">
        <v>140</v>
      </c>
      <c r="B10" s="226">
        <f>+B7+B8-B9</f>
        <v>788123.59833333502</v>
      </c>
      <c r="C10" s="5">
        <v>804774</v>
      </c>
      <c r="D10" s="7">
        <f>B10-C10</f>
        <v>-16650.401666664984</v>
      </c>
      <c r="E10" s="10"/>
    </row>
    <row r="11" spans="1:5" x14ac:dyDescent="0.25">
      <c r="A11" s="13" t="s">
        <v>200</v>
      </c>
      <c r="B11" s="21">
        <f>'POLIZA DE CIERRE '!D39</f>
        <v>224219.02</v>
      </c>
      <c r="C11" s="5"/>
      <c r="D11" s="5"/>
      <c r="E11" s="10"/>
    </row>
    <row r="12" spans="1:5" ht="15.75" thickBot="1" x14ac:dyDescent="0.3">
      <c r="A12" s="13" t="s">
        <v>201</v>
      </c>
      <c r="B12" s="208">
        <f>'POLIZA DE CIERRE '!D38</f>
        <v>79086.320000000007</v>
      </c>
      <c r="C12" s="5"/>
      <c r="D12" s="5"/>
      <c r="E12" s="10"/>
    </row>
    <row r="13" spans="1:5" ht="15.75" thickTop="1" x14ac:dyDescent="0.25">
      <c r="A13" s="13" t="s">
        <v>202</v>
      </c>
      <c r="B13" s="21">
        <f>+B10-B11-B12</f>
        <v>484818.25833333499</v>
      </c>
      <c r="C13" s="5"/>
      <c r="D13" s="5"/>
      <c r="E13" s="10"/>
    </row>
    <row r="14" spans="1:5" x14ac:dyDescent="0.25">
      <c r="A14" s="6"/>
      <c r="B14" s="7"/>
      <c r="C14" s="5"/>
      <c r="D14" s="5"/>
      <c r="E14" s="10"/>
    </row>
    <row r="15" spans="1:5" x14ac:dyDescent="0.25">
      <c r="A15" s="22" t="s">
        <v>17</v>
      </c>
      <c r="B15" s="7"/>
      <c r="C15" s="5"/>
      <c r="D15" s="5"/>
      <c r="E15" s="10"/>
    </row>
    <row r="16" spans="1:5" ht="55.5" x14ac:dyDescent="0.25">
      <c r="A16" s="23" t="s">
        <v>16</v>
      </c>
      <c r="B16" s="5"/>
      <c r="C16" s="5"/>
      <c r="D16" s="5"/>
      <c r="E16" s="10"/>
    </row>
    <row r="17" spans="1:5" ht="15.75" thickBot="1" x14ac:dyDescent="0.3">
      <c r="A17" s="11"/>
      <c r="B17" s="4"/>
      <c r="C17" s="4"/>
      <c r="D17" s="4"/>
      <c r="E17" s="12"/>
    </row>
  </sheetData>
  <mergeCells count="1">
    <mergeCell ref="A1:E1"/>
  </mergeCells>
  <pageMargins left="0.25" right="0.25" top="0.75" bottom="0.75" header="0.3" footer="0.3"/>
  <pageSetup scale="12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D20"/>
  <sheetViews>
    <sheetView workbookViewId="0">
      <selection activeCell="E14" sqref="E14"/>
    </sheetView>
  </sheetViews>
  <sheetFormatPr baseColWidth="10" defaultRowHeight="15" x14ac:dyDescent="0.25"/>
  <cols>
    <col min="2" max="2" width="19.28515625" customWidth="1"/>
    <col min="3" max="3" width="22.140625" customWidth="1"/>
    <col min="4" max="4" width="38.42578125" customWidth="1"/>
    <col min="5" max="5" width="35.7109375" customWidth="1"/>
    <col min="6" max="7" width="20.28515625" customWidth="1"/>
    <col min="8" max="8" width="20.42578125" bestFit="1" customWidth="1"/>
    <col min="10" max="10" width="12" bestFit="1" customWidth="1"/>
  </cols>
  <sheetData>
    <row r="1" spans="1:4" ht="15.75" thickBot="1" x14ac:dyDescent="0.3">
      <c r="A1" s="369" t="s">
        <v>247</v>
      </c>
      <c r="B1" s="381"/>
      <c r="C1" s="381"/>
      <c r="D1" s="370"/>
    </row>
    <row r="2" spans="1:4" x14ac:dyDescent="0.25">
      <c r="A2" s="6"/>
      <c r="B2" s="5"/>
      <c r="C2" s="5"/>
      <c r="D2" s="10"/>
    </row>
    <row r="3" spans="1:4" x14ac:dyDescent="0.25">
      <c r="A3" s="13" t="s">
        <v>19</v>
      </c>
      <c r="B3" s="5"/>
      <c r="C3" s="7">
        <f>+'4-INGRESOS CONTABLES-FISCAL'!D8-'2-AJUSTE ANUAL INFLACION'!O32</f>
        <v>34579890.721589997</v>
      </c>
      <c r="D3" s="10"/>
    </row>
    <row r="4" spans="1:4" ht="15.75" thickBot="1" x14ac:dyDescent="0.3">
      <c r="A4" s="13" t="s">
        <v>20</v>
      </c>
      <c r="B4" s="5"/>
      <c r="C4" s="14">
        <f>+'5-DEDUCCIONES CONTABLES-FISCAL'!E52+'3-COSTO DE VENTAS'!B8</f>
        <v>33766986.983134858</v>
      </c>
      <c r="D4" s="10"/>
    </row>
    <row r="5" spans="1:4" x14ac:dyDescent="0.25">
      <c r="A5" s="13" t="s">
        <v>21</v>
      </c>
      <c r="B5" s="5"/>
      <c r="C5" s="7">
        <f>+C3-C4</f>
        <v>812903.7384551391</v>
      </c>
      <c r="D5" s="10"/>
    </row>
    <row r="6" spans="1:4" ht="15.75" thickBot="1" x14ac:dyDescent="0.3">
      <c r="A6" s="13" t="s">
        <v>22</v>
      </c>
      <c r="B6" s="5"/>
      <c r="C6" s="14">
        <v>65507</v>
      </c>
      <c r="D6" s="10"/>
    </row>
    <row r="7" spans="1:4" x14ac:dyDescent="0.25">
      <c r="A7" s="13" t="s">
        <v>21</v>
      </c>
      <c r="B7" s="5"/>
      <c r="C7" s="7">
        <f>+C5-C6</f>
        <v>747396.7384551391</v>
      </c>
      <c r="D7" s="10"/>
    </row>
    <row r="8" spans="1:4" ht="15.75" thickBot="1" x14ac:dyDescent="0.3">
      <c r="A8" s="13" t="s">
        <v>23</v>
      </c>
      <c r="B8" s="5"/>
      <c r="C8" s="14">
        <v>0</v>
      </c>
      <c r="D8" s="10"/>
    </row>
    <row r="9" spans="1:4" x14ac:dyDescent="0.25">
      <c r="A9" s="13" t="s">
        <v>24</v>
      </c>
      <c r="B9" s="5"/>
      <c r="C9" s="225">
        <f>+C7+C8</f>
        <v>747396.7384551391</v>
      </c>
      <c r="D9" s="10"/>
    </row>
    <row r="10" spans="1:4" ht="15.75" thickBot="1" x14ac:dyDescent="0.3">
      <c r="A10" s="13" t="s">
        <v>25</v>
      </c>
      <c r="B10" s="5"/>
      <c r="C10" s="196">
        <v>0.3</v>
      </c>
      <c r="D10" s="10"/>
    </row>
    <row r="11" spans="1:4" x14ac:dyDescent="0.25">
      <c r="A11" s="13" t="s">
        <v>26</v>
      </c>
      <c r="B11" s="5"/>
      <c r="C11" s="7">
        <f>+C9*C10</f>
        <v>224219.02153654172</v>
      </c>
      <c r="D11" s="10"/>
    </row>
    <row r="12" spans="1:4" s="206" customFormat="1" x14ac:dyDescent="0.25">
      <c r="A12" s="203" t="s">
        <v>232</v>
      </c>
      <c r="B12" s="5"/>
      <c r="C12" s="7"/>
      <c r="D12" s="10"/>
    </row>
    <row r="13" spans="1:4" s="206" customFormat="1" x14ac:dyDescent="0.25">
      <c r="A13" s="203" t="s">
        <v>248</v>
      </c>
      <c r="B13" s="5"/>
      <c r="C13" s="7"/>
      <c r="D13" s="10"/>
    </row>
    <row r="14" spans="1:4" ht="15.75" thickBot="1" x14ac:dyDescent="0.3">
      <c r="A14" s="13" t="s">
        <v>27</v>
      </c>
      <c r="B14" s="5"/>
      <c r="C14" s="14">
        <v>216939</v>
      </c>
      <c r="D14" s="10"/>
    </row>
    <row r="15" spans="1:4" ht="19.5" thickBot="1" x14ac:dyDescent="0.35">
      <c r="A15" s="13" t="s">
        <v>28</v>
      </c>
      <c r="B15" s="5"/>
      <c r="C15" s="288">
        <f>+C11-C12-C13-C14</f>
        <v>7280.0215365417243</v>
      </c>
      <c r="D15" s="10"/>
    </row>
    <row r="16" spans="1:4" x14ac:dyDescent="0.25">
      <c r="A16" s="6"/>
      <c r="B16" s="5"/>
      <c r="C16" s="5"/>
      <c r="D16" s="10"/>
    </row>
    <row r="17" spans="1:4" x14ac:dyDescent="0.25">
      <c r="A17" s="6"/>
      <c r="B17" s="5"/>
      <c r="C17" s="5"/>
      <c r="D17" s="10"/>
    </row>
    <row r="18" spans="1:4" x14ac:dyDescent="0.25">
      <c r="A18" s="13" t="s">
        <v>29</v>
      </c>
      <c r="B18" s="5"/>
      <c r="C18" s="5"/>
      <c r="D18" s="10"/>
    </row>
    <row r="19" spans="1:4" x14ac:dyDescent="0.25">
      <c r="A19" s="13" t="s">
        <v>30</v>
      </c>
      <c r="B19" s="5"/>
      <c r="C19" s="5"/>
      <c r="D19" s="10"/>
    </row>
    <row r="20" spans="1:4" ht="15.75" thickBot="1" x14ac:dyDescent="0.3">
      <c r="A20" s="11"/>
      <c r="B20" s="4"/>
      <c r="C20" s="4"/>
      <c r="D20" s="12"/>
    </row>
  </sheetData>
  <mergeCells count="1">
    <mergeCell ref="A1:D1"/>
  </mergeCells>
  <pageMargins left="0.23622047244094491" right="0.23622047244094491" top="0.74803149606299213" bottom="0.74803149606299213" header="0.31496062992125984" footer="0.31496062992125984"/>
  <pageSetup scale="12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11</vt:i4>
      </vt:variant>
    </vt:vector>
  </HeadingPairs>
  <TitlesOfParts>
    <vt:vector size="28" baseType="lpstr">
      <vt:lpstr>1-DEPRECIACION CONTAB-FISCAL</vt:lpstr>
      <vt:lpstr>2-AJUSTE ANUAL INFLACION</vt:lpstr>
      <vt:lpstr>3-COSTO DE VENTAS</vt:lpstr>
      <vt:lpstr>4-INGRESOS CONTABLES-FISCAL</vt:lpstr>
      <vt:lpstr>5-DEDUCCIONES CONTABLES-FISCAL</vt:lpstr>
      <vt:lpstr>6-CONCILIACION CONTABLE-FISCAL</vt:lpstr>
      <vt:lpstr>7-BALANCE GENERAL</vt:lpstr>
      <vt:lpstr>8-ESTADO DE RESULTADOS</vt:lpstr>
      <vt:lpstr>9-CALCULO ISR ANUAL</vt:lpstr>
      <vt:lpstr>10- CALCULO PTU</vt:lpstr>
      <vt:lpstr>11-COEFICIENTE DE UTILIDAD</vt:lpstr>
      <vt:lpstr>Hoja1</vt:lpstr>
      <vt:lpstr>CUCA</vt:lpstr>
      <vt:lpstr>CUFIN</vt:lpstr>
      <vt:lpstr>PAGOS PROVISIONALES</vt:lpstr>
      <vt:lpstr>IVA </vt:lpstr>
      <vt:lpstr>POLIZA DE CIERRE </vt:lpstr>
      <vt:lpstr>'10- CALCULO PTU'!Área_de_impresión</vt:lpstr>
      <vt:lpstr>'11-COEFICIENTE DE UTILIDAD'!Área_de_impresión</vt:lpstr>
      <vt:lpstr>'1-DEPRECIACION CONTAB-FISCAL'!Área_de_impresión</vt:lpstr>
      <vt:lpstr>'2-AJUSTE ANUAL INFLACION'!Área_de_impresión</vt:lpstr>
      <vt:lpstr>'3-COSTO DE VENTAS'!Área_de_impresión</vt:lpstr>
      <vt:lpstr>'4-INGRESOS CONTABLES-FISCAL'!Área_de_impresión</vt:lpstr>
      <vt:lpstr>'5-DEDUCCIONES CONTABLES-FISCAL'!Área_de_impresión</vt:lpstr>
      <vt:lpstr>'6-CONCILIACION CONTABLE-FISCAL'!Área_de_impresión</vt:lpstr>
      <vt:lpstr>'7-BALANCE GENERAL'!Área_de_impresión</vt:lpstr>
      <vt:lpstr>'8-ESTADO DE RESULTADOS'!Área_de_impresión</vt:lpstr>
      <vt:lpstr>'9-CALCULO ISR ANUAL'!Área_de_impresión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Akosta</dc:creator>
  <cp:lastModifiedBy>Antonio</cp:lastModifiedBy>
  <cp:lastPrinted>2022-03-31T01:33:56Z</cp:lastPrinted>
  <dcterms:created xsi:type="dcterms:W3CDTF">2014-06-08T01:25:24Z</dcterms:created>
  <dcterms:modified xsi:type="dcterms:W3CDTF">2023-03-08T20:53:10Z</dcterms:modified>
</cp:coreProperties>
</file>